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0"/>
  <workbookPr/>
  <xr:revisionPtr revIDLastSave="0" documentId="8_{9B5C0603-29C4-874D-A376-D7986BF2A41F}" xr6:coauthVersionLast="36" xr6:coauthVersionMax="36" xr10:uidLastSave="{00000000-0000-0000-0000-000000000000}"/>
  <bookViews>
    <workbookView xWindow="0" yWindow="460" windowWidth="24120" windowHeight="15300" xr2:uid="{00000000-000D-0000-FFFF-FFFF00000000}"/>
  </bookViews>
  <sheets>
    <sheet name="Opioid Taper Calc" sheetId="1" r:id="rId1"/>
    <sheet name="Opioid Lists" sheetId="2" r:id="rId2"/>
  </sheets>
  <definedNames>
    <definedName name="Buprenorphine">ChemicalEntitySA</definedName>
    <definedName name="Chemicalentity">'Opioid Lists'!$B$2:$B$12</definedName>
    <definedName name="ChemicalEntityOpioid">'Opioid Lists'!$B$2:$B$12</definedName>
    <definedName name="LAOpioids">'Opioid Lists'!$B$2:$B$9</definedName>
    <definedName name="SAOpioids">'Opioid Lists'!$D$2:$D$13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9" i="1" l="1"/>
  <c r="G88" i="1"/>
  <c r="G87" i="1"/>
  <c r="G86" i="1"/>
  <c r="G85" i="1"/>
  <c r="G84" i="1"/>
  <c r="G83" i="1"/>
  <c r="G82" i="1"/>
  <c r="G81" i="1"/>
  <c r="G80" i="1"/>
  <c r="G77" i="1"/>
  <c r="H77" i="1" s="1"/>
  <c r="F77" i="1"/>
  <c r="A77" i="1"/>
  <c r="G76" i="1"/>
  <c r="A76" i="1" s="1"/>
  <c r="F76" i="1"/>
  <c r="G75" i="1"/>
  <c r="H75" i="1" s="1"/>
  <c r="F75" i="1"/>
  <c r="A75" i="1"/>
  <c r="G74" i="1"/>
  <c r="A74" i="1" s="1"/>
  <c r="F74" i="1"/>
  <c r="G73" i="1"/>
  <c r="H73" i="1" s="1"/>
  <c r="F73" i="1"/>
  <c r="A73" i="1"/>
  <c r="G72" i="1"/>
  <c r="A72" i="1" s="1"/>
  <c r="F72" i="1"/>
  <c r="G71" i="1"/>
  <c r="H71" i="1" s="1"/>
  <c r="F71" i="1"/>
  <c r="A71" i="1"/>
  <c r="G70" i="1"/>
  <c r="A70" i="1" s="1"/>
  <c r="F70" i="1"/>
  <c r="G69" i="1"/>
  <c r="H69" i="1" s="1"/>
  <c r="F69" i="1"/>
  <c r="A69" i="1"/>
  <c r="G68" i="1"/>
  <c r="A68" i="1" s="1"/>
  <c r="F68" i="1"/>
  <c r="K67" i="1"/>
  <c r="M67" i="1" s="1"/>
  <c r="N67" i="1" s="1"/>
  <c r="J67" i="1"/>
  <c r="I67" i="1"/>
  <c r="H67" i="1"/>
  <c r="F67" i="1"/>
  <c r="E67" i="1"/>
  <c r="D68" i="1" s="1"/>
  <c r="E68" i="1" s="1"/>
  <c r="D69" i="1" s="1"/>
  <c r="E69" i="1" s="1"/>
  <c r="D70" i="1" s="1"/>
  <c r="E70" i="1" s="1"/>
  <c r="D71" i="1" s="1"/>
  <c r="E71" i="1" s="1"/>
  <c r="D72" i="1" s="1"/>
  <c r="E72" i="1" s="1"/>
  <c r="D73" i="1" s="1"/>
  <c r="E73" i="1" s="1"/>
  <c r="D74" i="1" s="1"/>
  <c r="E74" i="1" s="1"/>
  <c r="D75" i="1" s="1"/>
  <c r="E75" i="1" s="1"/>
  <c r="D76" i="1" s="1"/>
  <c r="E76" i="1" s="1"/>
  <c r="D77" i="1" s="1"/>
  <c r="E77" i="1" s="1"/>
  <c r="D67" i="1"/>
  <c r="A67" i="1"/>
  <c r="G54" i="1"/>
  <c r="G53" i="1"/>
  <c r="G52" i="1"/>
  <c r="G51" i="1"/>
  <c r="G50" i="1"/>
  <c r="G49" i="1"/>
  <c r="G48" i="1"/>
  <c r="G47" i="1"/>
  <c r="G46" i="1"/>
  <c r="G45" i="1"/>
  <c r="H42" i="1"/>
  <c r="G42" i="1"/>
  <c r="F42" i="1"/>
  <c r="A42" i="1"/>
  <c r="G41" i="1"/>
  <c r="A41" i="1" s="1"/>
  <c r="F41" i="1"/>
  <c r="H41" i="1" s="1"/>
  <c r="H40" i="1"/>
  <c r="G40" i="1"/>
  <c r="F40" i="1"/>
  <c r="A40" i="1"/>
  <c r="G39" i="1"/>
  <c r="A39" i="1" s="1"/>
  <c r="F39" i="1"/>
  <c r="H38" i="1"/>
  <c r="G38" i="1"/>
  <c r="F38" i="1"/>
  <c r="A38" i="1"/>
  <c r="G37" i="1"/>
  <c r="A37" i="1" s="1"/>
  <c r="F37" i="1"/>
  <c r="H36" i="1"/>
  <c r="G36" i="1"/>
  <c r="F36" i="1"/>
  <c r="A36" i="1"/>
  <c r="G35" i="1"/>
  <c r="A35" i="1" s="1"/>
  <c r="F35" i="1"/>
  <c r="H34" i="1"/>
  <c r="G34" i="1"/>
  <c r="F34" i="1"/>
  <c r="A34" i="1"/>
  <c r="G33" i="1"/>
  <c r="A33" i="1" s="1"/>
  <c r="F33" i="1"/>
  <c r="H32" i="1"/>
  <c r="I32" i="1" s="1"/>
  <c r="F32" i="1"/>
  <c r="D32" i="1"/>
  <c r="E32" i="1" s="1"/>
  <c r="D33" i="1" s="1"/>
  <c r="E33" i="1" s="1"/>
  <c r="D34" i="1" s="1"/>
  <c r="E34" i="1" s="1"/>
  <c r="D35" i="1" s="1"/>
  <c r="E35" i="1" s="1"/>
  <c r="D36" i="1" s="1"/>
  <c r="E36" i="1" s="1"/>
  <c r="D37" i="1" s="1"/>
  <c r="E37" i="1" s="1"/>
  <c r="D38" i="1" s="1"/>
  <c r="E38" i="1" s="1"/>
  <c r="D39" i="1" s="1"/>
  <c r="E39" i="1" s="1"/>
  <c r="D40" i="1" s="1"/>
  <c r="E40" i="1" s="1"/>
  <c r="D41" i="1" s="1"/>
  <c r="E41" i="1" s="1"/>
  <c r="D42" i="1" s="1"/>
  <c r="E42" i="1" s="1"/>
  <c r="A32" i="1"/>
  <c r="K32" i="1" l="1"/>
  <c r="J32" i="1"/>
  <c r="L67" i="1"/>
  <c r="H68" i="1"/>
  <c r="I68" i="1" s="1"/>
  <c r="H70" i="1"/>
  <c r="H72" i="1"/>
  <c r="H74" i="1"/>
  <c r="H76" i="1"/>
  <c r="H33" i="1"/>
  <c r="I33" i="1" s="1"/>
  <c r="H39" i="1"/>
  <c r="H35" i="1"/>
  <c r="H37" i="1"/>
  <c r="K33" i="1" l="1"/>
  <c r="I34" i="1"/>
  <c r="J33" i="1"/>
  <c r="I69" i="1"/>
  <c r="J68" i="1"/>
  <c r="K68" i="1"/>
  <c r="M32" i="1"/>
  <c r="N32" i="1" s="1"/>
  <c r="L32" i="1"/>
  <c r="M68" i="1" l="1"/>
  <c r="N68" i="1" s="1"/>
  <c r="L68" i="1"/>
  <c r="I70" i="1"/>
  <c r="K69" i="1"/>
  <c r="J69" i="1"/>
  <c r="I35" i="1"/>
  <c r="K34" i="1"/>
  <c r="J34" i="1"/>
  <c r="M33" i="1"/>
  <c r="N33" i="1" s="1"/>
  <c r="L33" i="1"/>
  <c r="M69" i="1" l="1"/>
  <c r="N69" i="1" s="1"/>
  <c r="L69" i="1"/>
  <c r="I71" i="1"/>
  <c r="K70" i="1"/>
  <c r="J70" i="1"/>
  <c r="M34" i="1"/>
  <c r="N34" i="1" s="1"/>
  <c r="L34" i="1"/>
  <c r="K35" i="1"/>
  <c r="J35" i="1"/>
  <c r="I36" i="1"/>
  <c r="I37" i="1" l="1"/>
  <c r="K36" i="1"/>
  <c r="J36" i="1"/>
  <c r="M70" i="1"/>
  <c r="N70" i="1" s="1"/>
  <c r="L70" i="1"/>
  <c r="M35" i="1"/>
  <c r="N35" i="1" s="1"/>
  <c r="L35" i="1"/>
  <c r="I72" i="1"/>
  <c r="K71" i="1"/>
  <c r="J71" i="1"/>
  <c r="I73" i="1" l="1"/>
  <c r="K72" i="1"/>
  <c r="J72" i="1"/>
  <c r="M71" i="1"/>
  <c r="N71" i="1" s="1"/>
  <c r="L71" i="1"/>
  <c r="M36" i="1"/>
  <c r="N36" i="1" s="1"/>
  <c r="L36" i="1"/>
  <c r="K37" i="1"/>
  <c r="J37" i="1"/>
  <c r="I38" i="1"/>
  <c r="M37" i="1" l="1"/>
  <c r="N37" i="1" s="1"/>
  <c r="L37" i="1"/>
  <c r="M72" i="1"/>
  <c r="N72" i="1" s="1"/>
  <c r="L72" i="1"/>
  <c r="I39" i="1"/>
  <c r="K38" i="1"/>
  <c r="J38" i="1"/>
  <c r="I74" i="1"/>
  <c r="K73" i="1"/>
  <c r="J73" i="1"/>
  <c r="I75" i="1" l="1"/>
  <c r="K74" i="1"/>
  <c r="J74" i="1"/>
  <c r="M38" i="1"/>
  <c r="N38" i="1" s="1"/>
  <c r="L38" i="1"/>
  <c r="K39" i="1"/>
  <c r="J39" i="1"/>
  <c r="I40" i="1"/>
  <c r="M73" i="1"/>
  <c r="N73" i="1" s="1"/>
  <c r="L73" i="1"/>
  <c r="I41" i="1" l="1"/>
  <c r="K40" i="1"/>
  <c r="J40" i="1"/>
  <c r="L39" i="1"/>
  <c r="M39" i="1"/>
  <c r="N39" i="1" s="1"/>
  <c r="M74" i="1"/>
  <c r="N74" i="1" s="1"/>
  <c r="L74" i="1"/>
  <c r="J75" i="1"/>
  <c r="I76" i="1"/>
  <c r="K75" i="1"/>
  <c r="M40" i="1" l="1"/>
  <c r="N40" i="1" s="1"/>
  <c r="L40" i="1"/>
  <c r="M75" i="1"/>
  <c r="N75" i="1" s="1"/>
  <c r="L75" i="1"/>
  <c r="I77" i="1"/>
  <c r="J76" i="1"/>
  <c r="K76" i="1"/>
  <c r="K41" i="1"/>
  <c r="I42" i="1"/>
  <c r="J41" i="1"/>
  <c r="K42" i="1" l="1"/>
  <c r="J42" i="1"/>
  <c r="F44" i="1" s="1"/>
  <c r="L41" i="1"/>
  <c r="M41" i="1"/>
  <c r="N41" i="1" s="1"/>
  <c r="M76" i="1"/>
  <c r="N76" i="1" s="1"/>
  <c r="L76" i="1"/>
  <c r="K77" i="1"/>
  <c r="J77" i="1"/>
  <c r="F79" i="1" s="1"/>
  <c r="M77" i="1" l="1"/>
  <c r="N77" i="1" s="1"/>
  <c r="E79" i="1" s="1"/>
  <c r="D80" i="1" s="1"/>
  <c r="E80" i="1" s="1"/>
  <c r="D81" i="1" s="1"/>
  <c r="E81" i="1" s="1"/>
  <c r="D82" i="1" s="1"/>
  <c r="E82" i="1" s="1"/>
  <c r="D83" i="1" s="1"/>
  <c r="E83" i="1" s="1"/>
  <c r="D84" i="1" s="1"/>
  <c r="E84" i="1" s="1"/>
  <c r="D85" i="1" s="1"/>
  <c r="E85" i="1" s="1"/>
  <c r="D86" i="1" s="1"/>
  <c r="E86" i="1" s="1"/>
  <c r="D87" i="1" s="1"/>
  <c r="E87" i="1" s="1"/>
  <c r="D88" i="1" s="1"/>
  <c r="E88" i="1" s="1"/>
  <c r="D89" i="1" s="1"/>
  <c r="E89" i="1" s="1"/>
  <c r="L77" i="1"/>
  <c r="D79" i="1" s="1"/>
  <c r="F89" i="1"/>
  <c r="F87" i="1"/>
  <c r="F85" i="1"/>
  <c r="F83" i="1"/>
  <c r="F81" i="1"/>
  <c r="F88" i="1"/>
  <c r="F86" i="1"/>
  <c r="F84" i="1"/>
  <c r="F82" i="1"/>
  <c r="F80" i="1"/>
  <c r="F47" i="1"/>
  <c r="F50" i="1"/>
  <c r="F51" i="1"/>
  <c r="F54" i="1"/>
  <c r="F52" i="1"/>
  <c r="F53" i="1"/>
  <c r="F49" i="1"/>
  <c r="F45" i="1"/>
  <c r="F46" i="1"/>
  <c r="F48" i="1"/>
  <c r="M42" i="1"/>
  <c r="N42" i="1" s="1"/>
  <c r="E44" i="1" s="1"/>
  <c r="D45" i="1" s="1"/>
  <c r="E45" i="1" s="1"/>
  <c r="D46" i="1" s="1"/>
  <c r="E46" i="1" s="1"/>
  <c r="D47" i="1" s="1"/>
  <c r="E47" i="1" s="1"/>
  <c r="D48" i="1" s="1"/>
  <c r="E48" i="1" s="1"/>
  <c r="D49" i="1" s="1"/>
  <c r="E49" i="1" s="1"/>
  <c r="D50" i="1" s="1"/>
  <c r="E50" i="1" s="1"/>
  <c r="D51" i="1" s="1"/>
  <c r="E51" i="1" s="1"/>
  <c r="D52" i="1" s="1"/>
  <c r="E52" i="1" s="1"/>
  <c r="D53" i="1" s="1"/>
  <c r="E53" i="1" s="1"/>
  <c r="D54" i="1" s="1"/>
  <c r="E54" i="1" s="1"/>
  <c r="L42" i="1"/>
  <c r="D44" i="1" s="1"/>
</calcChain>
</file>

<file path=xl/sharedStrings.xml><?xml version="1.0" encoding="utf-8"?>
<sst xmlns="http://schemas.openxmlformats.org/spreadsheetml/2006/main" count="95" uniqueCount="64">
  <si>
    <t>Selection ID</t>
  </si>
  <si>
    <t>Codeine</t>
  </si>
  <si>
    <t>Hydromorphone</t>
  </si>
  <si>
    <t>Levorphanol</t>
  </si>
  <si>
    <t>Meperidine</t>
  </si>
  <si>
    <t>Methadone</t>
  </si>
  <si>
    <t>Oxymorphone</t>
  </si>
  <si>
    <t>Tramadol</t>
  </si>
  <si>
    <t>Schedule</t>
  </si>
  <si>
    <t>Chemical Entity (Long-Acting Opioid)</t>
  </si>
  <si>
    <t>Chemical Entity (Short-Acting Opioid)</t>
  </si>
  <si>
    <t>Morphine CR/SR</t>
  </si>
  <si>
    <t>Oxycodone CR</t>
  </si>
  <si>
    <t>Tramadol ER</t>
  </si>
  <si>
    <t>Tapentadol ER</t>
  </si>
  <si>
    <t xml:space="preserve">Oxycodone </t>
  </si>
  <si>
    <t xml:space="preserve">Morphine </t>
  </si>
  <si>
    <t xml:space="preserve">Tapentadol </t>
  </si>
  <si>
    <t>Desired % Reduction per Week</t>
  </si>
  <si>
    <t>STEP 1: Short-Acting Opioid Taper Schedule</t>
  </si>
  <si>
    <t>STEP 2: Long-Acting Opioid Taper Schedule</t>
  </si>
  <si>
    <t>Hydromorphone ER</t>
  </si>
  <si>
    <t>Hydrocodone ER</t>
  </si>
  <si>
    <r>
      <rPr>
        <b/>
        <i/>
        <sz val="11"/>
        <color theme="1"/>
        <rFont val="Calibri"/>
        <family val="2"/>
        <scheme val="minor"/>
      </rPr>
      <t>Note</t>
    </r>
    <r>
      <rPr>
        <b/>
        <sz val="11"/>
        <color theme="1"/>
        <rFont val="Calibri"/>
        <family val="2"/>
        <scheme val="minor"/>
      </rPr>
      <t xml:space="preserve"> - Total daily doses below are not based on available strengths of the opioid being utilized and should only be used as a starting point for tapering purposes. If possible, the next highest available dose should be utilized that is closest to the total daily dose calculated below to prevent withdrawal symptoms.</t>
    </r>
  </si>
  <si>
    <t>Week Start Date</t>
  </si>
  <si>
    <t>Week End Date</t>
  </si>
  <si>
    <t>Short-Acting Taper Start Date</t>
  </si>
  <si>
    <t>Long-Acting Taper Start Date</t>
  </si>
  <si>
    <t>% of Original Starting Dose</t>
  </si>
  <si>
    <t>Total Daily Dose (mg)</t>
  </si>
  <si>
    <t>Total Daily Starting Opioid Dose (mg)</t>
  </si>
  <si>
    <t>Slowed Down Taper when % is Reached</t>
  </si>
  <si>
    <t>New Taper Rate</t>
  </si>
  <si>
    <t>Week Start numerical</t>
  </si>
  <si>
    <t>Week End numerical</t>
  </si>
  <si>
    <t>Starting Dose for Slower Taper</t>
  </si>
  <si>
    <t>Slower Taper Week Start Date</t>
  </si>
  <si>
    <t>Slower Taper Week End Date</t>
  </si>
  <si>
    <t>Phase 1 - Fast Taper</t>
  </si>
  <si>
    <t>Phase 2 - Slow Taper</t>
  </si>
  <si>
    <t>% of Phase 2 Dose</t>
  </si>
  <si>
    <t>Long-Acting Doses</t>
  </si>
  <si>
    <t>Short-Acting Doses</t>
  </si>
  <si>
    <t>50 mg, 100 mg</t>
  </si>
  <si>
    <t>5 mg, 10 mg</t>
  </si>
  <si>
    <t>15 mg, 30 mg</t>
  </si>
  <si>
    <t>5 mg, 7.5 mg, 10 mg, 15 mg, 20 mg, 30 mg</t>
  </si>
  <si>
    <t>5 mg, 10  mg</t>
  </si>
  <si>
    <t>50 mg, 75 mg, 100 mg</t>
  </si>
  <si>
    <t>50 mg</t>
  </si>
  <si>
    <t>15 mg, 30 mg, 60 mg</t>
  </si>
  <si>
    <t>Hydrocodone-APAP</t>
  </si>
  <si>
    <t>Hydrocodone-Ibuprofen</t>
  </si>
  <si>
    <t>2 mg, 4 mg, 8 mg</t>
  </si>
  <si>
    <t xml:space="preserve">2 mg </t>
  </si>
  <si>
    <t>10 mg, 15 mg, 20 mg, 30 mg, 40 mg, 50 mg, 60 mg, 80, 100 mg, 120 mg</t>
  </si>
  <si>
    <t>8 mg, 12 mg, 16 mg, 32 mg</t>
  </si>
  <si>
    <t>10 mg, 15 mg, 20 mg, 30 mg, 40 mg, 45 mg, 50 mg, 60 mg, 75 mg, 80 mg, 90 mg, 100 mg, 200 mg</t>
  </si>
  <si>
    <t>9 mg, 10 mg, 13.5 mg, 15 mg, 18 mg, 20 mg, 27 mg, 30 mg, 36 mg, 40 mg, 60 mg, 80 mg</t>
  </si>
  <si>
    <t>5 mg, 7.5 mg, 10 mg, 15 mg, 20 mg, 30 mg, 40 mg</t>
  </si>
  <si>
    <t>50 mg, 100 mg, 150 mg, 200 mg, 250 mg</t>
  </si>
  <si>
    <t>100 mg, 150 mg, 200 mg, 300 mg</t>
  </si>
  <si>
    <t>2.5 mg-325 mg, 5 mg-300 mg, 5 mg-325 mg, 7.5 mg-300 mg, 7.5-325 mg, 10 mg-300 mg, 10 mg-325 mg</t>
  </si>
  <si>
    <t>2.5 mg-200 mg, 5 mg-200 mg, 7.5 mg-200 mg, 10 mg-200 mg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</si>
</sst>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6" x14ac:knownFonts="1">
    <font>
      <sz val="11"/>
      <color theme="1"/>
      <name val="Calibri"/>
      <family val="2"/>
      <scheme val="minor"/>
    </font>
    <font>
      <b/>
      <sz val="11"/>
      <color theme="1"/>
      <name val="Calibri"/>
      <family val="2"/>
      <scheme val="minor"/>
    </font>
    <font>
      <b/>
      <i/>
      <sz val="11"/>
      <color theme="1"/>
      <name val="Calibri"/>
      <family val="2"/>
      <scheme val="minor"/>
    </font>
    <font>
      <b/>
      <sz val="16"/>
      <color theme="1"/>
      <name val="Calibri"/>
      <family val="2"/>
      <scheme val="minor"/>
    </font>
    <font>
      <b/>
      <sz val="18"/>
      <color theme="0"/>
      <name val="Calibri"/>
      <family val="2"/>
      <scheme val="minor"/>
    </font>
    <font>
      <b/>
      <sz val="11"/>
      <name val="Calibri"/>
      <family val="2"/>
      <scheme val="minor"/>
    </font>
  </fonts>
  <fills count="11">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00B05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s>
  <borders count="1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cellStyleXfs>
  <cellXfs count="61">
    <xf numFmtId="0" fontId="0" fillId="0" borderId="0" xfId="0"/>
    <xf numFmtId="0" fontId="1" fillId="0" borderId="0" xfId="0" applyFont="1"/>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xf>
    <xf numFmtId="0" fontId="1" fillId="4" borderId="4" xfId="0" applyFont="1" applyFill="1"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164" fontId="0" fillId="0" borderId="1" xfId="0" applyNumberFormat="1" applyBorder="1" applyAlignment="1">
      <alignment horizontal="center"/>
    </xf>
    <xf numFmtId="164" fontId="0" fillId="0" borderId="2" xfId="0" applyNumberFormat="1" applyBorder="1" applyAlignment="1">
      <alignment horizontal="center"/>
    </xf>
    <xf numFmtId="164" fontId="0" fillId="0" borderId="3" xfId="0" applyNumberFormat="1" applyBorder="1" applyAlignment="1">
      <alignment horizontal="center"/>
    </xf>
    <xf numFmtId="164" fontId="0" fillId="0" borderId="0" xfId="0" applyNumberFormat="1" applyAlignment="1">
      <alignment horizontal="center" vertical="center"/>
    </xf>
    <xf numFmtId="2" fontId="0" fillId="0" borderId="0" xfId="0" applyNumberFormat="1" applyAlignment="1">
      <alignment horizontal="center" vertical="center"/>
    </xf>
    <xf numFmtId="1" fontId="0" fillId="0" borderId="0" xfId="0" applyNumberFormat="1" applyAlignment="1">
      <alignment horizontal="center" vertical="center"/>
    </xf>
    <xf numFmtId="0" fontId="1" fillId="0" borderId="7" xfId="0" applyFont="1" applyFill="1" applyBorder="1" applyAlignment="1">
      <alignment horizontal="center" vertical="center"/>
    </xf>
    <xf numFmtId="0" fontId="1" fillId="0" borderId="4" xfId="0" applyFont="1" applyBorder="1" applyAlignment="1">
      <alignment horizontal="center" vertical="center"/>
    </xf>
    <xf numFmtId="0" fontId="1" fillId="0" borderId="4" xfId="0" applyFont="1" applyFill="1" applyBorder="1" applyAlignment="1">
      <alignment horizontal="center" vertical="center"/>
    </xf>
    <xf numFmtId="1" fontId="0" fillId="0" borderId="1" xfId="0" applyNumberFormat="1" applyBorder="1" applyAlignment="1">
      <alignment horizontal="center" vertical="center"/>
    </xf>
    <xf numFmtId="164" fontId="0" fillId="0" borderId="1" xfId="0" applyNumberFormat="1" applyBorder="1" applyAlignment="1">
      <alignment horizontal="center" vertical="center"/>
    </xf>
    <xf numFmtId="164" fontId="0" fillId="0" borderId="2" xfId="0" applyNumberFormat="1" applyBorder="1" applyAlignment="1">
      <alignment horizontal="center" vertical="center"/>
    </xf>
    <xf numFmtId="164" fontId="0" fillId="0" borderId="3" xfId="0" applyNumberFormat="1" applyBorder="1" applyAlignment="1">
      <alignment horizontal="center" vertical="center"/>
    </xf>
    <xf numFmtId="164" fontId="0" fillId="0" borderId="8" xfId="0" applyNumberFormat="1" applyBorder="1" applyAlignment="1">
      <alignment horizontal="center" vertical="center"/>
    </xf>
    <xf numFmtId="164" fontId="0" fillId="0" borderId="9" xfId="0" applyNumberFormat="1" applyBorder="1" applyAlignment="1">
      <alignment horizontal="center" vertical="center"/>
    </xf>
    <xf numFmtId="164" fontId="0" fillId="0" borderId="10" xfId="0" applyNumberFormat="1" applyBorder="1" applyAlignment="1">
      <alignment horizontal="center" vertical="center"/>
    </xf>
    <xf numFmtId="0" fontId="0" fillId="0" borderId="0" xfId="0" applyAlignment="1">
      <alignment horizontal="center" vertical="center" wrapText="1"/>
    </xf>
    <xf numFmtId="1" fontId="0" fillId="0" borderId="2" xfId="0" applyNumberFormat="1" applyBorder="1" applyAlignment="1">
      <alignment horizontal="center" vertical="center"/>
    </xf>
    <xf numFmtId="1" fontId="0" fillId="0" borderId="3" xfId="0" applyNumberFormat="1" applyBorder="1" applyAlignment="1">
      <alignment horizontal="center" vertical="center"/>
    </xf>
    <xf numFmtId="0" fontId="1" fillId="7" borderId="0" xfId="0" applyFont="1" applyFill="1" applyAlignment="1">
      <alignment horizontal="center" vertical="center"/>
    </xf>
    <xf numFmtId="0" fontId="1" fillId="7" borderId="0" xfId="0" applyFont="1" applyFill="1"/>
    <xf numFmtId="0" fontId="0" fillId="8" borderId="0" xfId="0" applyFill="1" applyBorder="1" applyAlignment="1">
      <alignment horizontal="center" vertical="center"/>
    </xf>
    <xf numFmtId="0" fontId="0" fillId="8" borderId="0" xfId="0" applyFont="1" applyFill="1" applyBorder="1" applyAlignment="1">
      <alignment horizontal="center" vertical="center"/>
    </xf>
    <xf numFmtId="0" fontId="0" fillId="0" borderId="0" xfId="0" applyBorder="1" applyAlignment="1">
      <alignment horizontal="left" vertical="center"/>
    </xf>
    <xf numFmtId="0" fontId="0" fillId="0" borderId="0" xfId="0" applyFont="1" applyFill="1" applyBorder="1" applyAlignment="1">
      <alignment horizontal="left" vertical="center"/>
    </xf>
    <xf numFmtId="0" fontId="0" fillId="0" borderId="0" xfId="0" applyAlignment="1">
      <alignment horizontal="left"/>
    </xf>
    <xf numFmtId="0" fontId="5" fillId="4" borderId="4" xfId="0" applyFont="1" applyFill="1" applyBorder="1" applyAlignment="1">
      <alignment horizontal="center" vertical="center"/>
    </xf>
    <xf numFmtId="0" fontId="1" fillId="10" borderId="8" xfId="0" applyFont="1" applyFill="1" applyBorder="1" applyAlignment="1">
      <alignment horizontal="center" vertical="center"/>
    </xf>
    <xf numFmtId="0" fontId="1" fillId="10" borderId="5" xfId="0" applyFont="1" applyFill="1" applyBorder="1" applyAlignment="1">
      <alignment horizontal="center" vertical="center"/>
    </xf>
    <xf numFmtId="0" fontId="1" fillId="8" borderId="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9" borderId="5" xfId="0" applyFont="1" applyFill="1" applyBorder="1" applyAlignment="1">
      <alignment horizontal="center" vertical="center"/>
    </xf>
    <xf numFmtId="0" fontId="1" fillId="9" borderId="6" xfId="0" applyFont="1" applyFill="1" applyBorder="1" applyAlignment="1">
      <alignment horizontal="center" vertical="center"/>
    </xf>
    <xf numFmtId="0" fontId="1" fillId="9" borderId="7" xfId="0" applyFont="1" applyFill="1" applyBorder="1" applyAlignment="1">
      <alignment horizontal="center" vertical="center"/>
    </xf>
    <xf numFmtId="0" fontId="5" fillId="9" borderId="6" xfId="0" applyFont="1" applyFill="1" applyBorder="1" applyAlignment="1">
      <alignment horizontal="center" vertical="center"/>
    </xf>
    <xf numFmtId="0" fontId="5" fillId="9" borderId="7" xfId="0" applyFont="1" applyFill="1" applyBorder="1" applyAlignment="1">
      <alignment horizontal="center" vertical="center"/>
    </xf>
    <xf numFmtId="14" fontId="1" fillId="9" borderId="6" xfId="0" applyNumberFormat="1" applyFont="1" applyFill="1" applyBorder="1" applyAlignment="1">
      <alignment horizontal="center"/>
    </xf>
    <xf numFmtId="14" fontId="1" fillId="9" borderId="7" xfId="0" applyNumberFormat="1" applyFont="1" applyFill="1" applyBorder="1" applyAlignment="1">
      <alignment horizontal="center"/>
    </xf>
    <xf numFmtId="0" fontId="3" fillId="6" borderId="1"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cellXfs>
  <cellStyles count="1">
    <cellStyle name="Normal" xfId="0" builtinId="0"/>
  </cellStyles>
  <dxfs count="8">
    <dxf>
      <font>
        <b/>
        <i val="0"/>
      </font>
      <fill>
        <patternFill>
          <bgColor theme="9" tint="0.59996337778862885"/>
        </patternFill>
      </fill>
    </dxf>
    <dxf>
      <font>
        <color theme="0" tint="-0.24994659260841701"/>
      </font>
    </dxf>
    <dxf>
      <font>
        <b/>
        <i val="0"/>
      </font>
      <fill>
        <patternFill>
          <bgColor theme="9" tint="0.59996337778862885"/>
        </patternFill>
      </fill>
    </dxf>
    <dxf>
      <font>
        <color theme="0" tint="-0.24994659260841701"/>
      </font>
    </dxf>
    <dxf>
      <font>
        <b/>
        <i val="0"/>
      </font>
      <fill>
        <patternFill>
          <bgColor theme="9" tint="0.59996337778862885"/>
        </patternFill>
      </fill>
    </dxf>
    <dxf>
      <font>
        <color theme="0" tint="-0.24994659260841701"/>
      </font>
    </dxf>
    <dxf>
      <font>
        <b/>
        <i val="0"/>
      </font>
      <fill>
        <patternFill>
          <bgColor theme="9" tint="0.59996337778862885"/>
        </patternFill>
      </fill>
    </dxf>
    <dxf>
      <font>
        <color theme="0"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xdr:colOff>
      <xdr:row>1</xdr:row>
      <xdr:rowOff>119062</xdr:rowOff>
    </xdr:from>
    <xdr:to>
      <xdr:col>6</xdr:col>
      <xdr:colOff>3178969</xdr:colOff>
      <xdr:row>21</xdr:row>
      <xdr:rowOff>119063</xdr:rowOff>
    </xdr:to>
    <xdr:sp macro="" textlink="">
      <xdr:nvSpPr>
        <xdr:cNvPr id="10" name="Rounded Rectangle 9">
          <a:extLst>
            <a:ext uri="{FF2B5EF4-FFF2-40B4-BE49-F238E27FC236}">
              <a16:creationId xmlns:a16="http://schemas.microsoft.com/office/drawing/2014/main" id="{00000000-0008-0000-0000-00000A000000}"/>
            </a:ext>
          </a:extLst>
        </xdr:cNvPr>
        <xdr:cNvSpPr/>
      </xdr:nvSpPr>
      <xdr:spPr>
        <a:xfrm>
          <a:off x="2214562" y="309562"/>
          <a:ext cx="13263563" cy="3810001"/>
        </a:xfrm>
        <a:prstGeom prst="roundRect">
          <a:avLst/>
        </a:prstGeom>
        <a:ln w="22225">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n-US" sz="1200" b="1" u="sng">
              <a:solidFill>
                <a:schemeClr val="dk1"/>
              </a:solidFill>
              <a:effectLst/>
              <a:latin typeface="+mn-lt"/>
              <a:ea typeface="+mn-ea"/>
              <a:cs typeface="+mn-cs"/>
            </a:rPr>
            <a:t>Envolve Pharmacy Solutions Opioid Taper Tool</a:t>
          </a:r>
        </a:p>
        <a:p>
          <a:r>
            <a:rPr lang="en-US" sz="1200" b="1">
              <a:solidFill>
                <a:schemeClr val="dk1"/>
              </a:solidFill>
              <a:effectLst/>
              <a:latin typeface="+mn-lt"/>
              <a:ea typeface="+mn-ea"/>
              <a:cs typeface="+mn-cs"/>
            </a:rPr>
            <a:t>The following taper tool was developed to assist in the coordination and development of an opioid</a:t>
          </a:r>
          <a:r>
            <a:rPr lang="en-US" sz="1200" b="1" baseline="0">
              <a:solidFill>
                <a:schemeClr val="dk1"/>
              </a:solidFill>
              <a:effectLst/>
              <a:latin typeface="+mn-lt"/>
              <a:ea typeface="+mn-ea"/>
              <a:cs typeface="+mn-cs"/>
            </a:rPr>
            <a:t> taper protocol. This tools can provide either a monophasic (e.g. same reduction rate throughout the entire weaning protocol) or biphasic (e.g. faster taper rate followed by a slower taper rate after a certain threshold is reached) taper approach thus allowing the prescriber to utilize a patient-specific taper  based on how well the patient is responding to the overall weaning process. </a:t>
          </a:r>
        </a:p>
        <a:p>
          <a:endParaRPr lang="en-US" sz="1200" b="1" baseline="0">
            <a:solidFill>
              <a:schemeClr val="dk1"/>
            </a:solidFill>
            <a:effectLst/>
            <a:latin typeface="+mn-lt"/>
            <a:ea typeface="+mn-ea"/>
            <a:cs typeface="+mn-cs"/>
          </a:endParaRPr>
        </a:p>
        <a:p>
          <a:pPr algn="ctr"/>
          <a:r>
            <a:rPr lang="en-US" sz="1200" b="1" u="sng" baseline="0">
              <a:solidFill>
                <a:schemeClr val="dk1"/>
              </a:solidFill>
              <a:effectLst/>
              <a:latin typeface="+mn-lt"/>
              <a:ea typeface="+mn-ea"/>
              <a:cs typeface="+mn-cs"/>
            </a:rPr>
            <a:t>Instructions for Use</a:t>
          </a:r>
        </a:p>
        <a:p>
          <a:endParaRPr lang="en-US" sz="1200" b="1" baseline="0">
            <a:solidFill>
              <a:schemeClr val="dk1"/>
            </a:solidFill>
            <a:effectLst/>
            <a:latin typeface="+mn-lt"/>
            <a:ea typeface="+mn-ea"/>
            <a:cs typeface="+mn-cs"/>
          </a:endParaRPr>
        </a:p>
        <a:p>
          <a:r>
            <a:rPr lang="en-US" sz="1200">
              <a:effectLst/>
            </a:rPr>
            <a:t>1. Select the chemical entity that you are trying to wean from the drop-down box . </a:t>
          </a:r>
          <a:r>
            <a:rPr lang="en-US" sz="1200" i="1">
              <a:effectLst/>
            </a:rPr>
            <a:t>Note</a:t>
          </a:r>
          <a:r>
            <a:rPr lang="en-US" sz="1200" i="1" baseline="0">
              <a:effectLst/>
            </a:rPr>
            <a:t> - this step is not critically necessary for the use of this tool. You may opt to enter in the chemical entity or leave it blank.</a:t>
          </a:r>
        </a:p>
        <a:p>
          <a:r>
            <a:rPr lang="en-US" sz="1200" baseline="0">
              <a:effectLst/>
            </a:rPr>
            <a:t>2. If a monophasic taper approach is desired, only enter in the total daily starting opioid dose and the desired % reduction per week. All other fields should be left blank.</a:t>
          </a:r>
        </a:p>
        <a:p>
          <a:r>
            <a:rPr lang="en-US" sz="1200" baseline="0">
              <a:effectLst/>
            </a:rPr>
            <a:t>3. If a biphasic taper approach is desired, in addition to the above, enter in the % of the original dose at which you wish to slow the taper rate down, and the new taper rate from that point on.</a:t>
          </a:r>
        </a:p>
        <a:p>
          <a:r>
            <a:rPr lang="en-US" sz="1200" baseline="0">
              <a:effectLst/>
            </a:rPr>
            <a:t>4. Enter in the desired date for the taper; the tool will automatically schedule out the dates based on the taper rates that you have selected.</a:t>
          </a:r>
        </a:p>
        <a:p>
          <a:r>
            <a:rPr lang="en-US" sz="1200" baseline="0">
              <a:effectLst/>
            </a:rPr>
            <a:t>5. Both the short-acting and the long-acting taper tools below function in the same manner. All data entry fields are identical and function independently.</a:t>
          </a:r>
          <a:endParaRPr lang="en-US" sz="1200">
            <a:effectLst/>
          </a:endParaRPr>
        </a:p>
        <a:p>
          <a:pPr lvl="0"/>
          <a:endParaRPr lang="en-US" sz="1200" baseline="0">
            <a:solidFill>
              <a:srgbClr val="FF0000"/>
            </a:solidFill>
            <a:effectLst/>
            <a:latin typeface="+mn-lt"/>
            <a:ea typeface="+mn-ea"/>
            <a:cs typeface="+mn-cs"/>
          </a:endParaRPr>
        </a:p>
        <a:p>
          <a:pPr lvl="0" algn="ctr"/>
          <a:r>
            <a:rPr lang="en-US" sz="1200" b="1" u="sng" baseline="0">
              <a:solidFill>
                <a:srgbClr val="FF0000"/>
              </a:solidFill>
              <a:effectLst/>
              <a:latin typeface="+mn-lt"/>
              <a:ea typeface="+mn-ea"/>
              <a:cs typeface="+mn-cs"/>
            </a:rPr>
            <a:t>Disclaimer</a:t>
          </a:r>
        </a:p>
        <a:p>
          <a:pPr lvl="0" algn="ctr"/>
          <a:r>
            <a:rPr lang="en-US" sz="1200" b="1" u="sng" baseline="0">
              <a:solidFill>
                <a:srgbClr val="FF0000"/>
              </a:solidFill>
              <a:effectLst/>
              <a:latin typeface="+mn-lt"/>
              <a:ea typeface="+mn-ea"/>
              <a:cs typeface="+mn-cs"/>
            </a:rPr>
            <a:t>Please note that this taper tool is intended only as a guide in determining an opioid taper protocol for your patient. Please use your professional judgment in determining whether this taper tool is appropriate for your patient. An opioid taper process is a highly patient-specific event and should be conducted in a multidisciplinary approach. </a:t>
          </a:r>
        </a:p>
        <a:p>
          <a:pPr lvl="0"/>
          <a:endParaRPr lang="en-US" sz="1100">
            <a:solidFill>
              <a:srgbClr val="FF0000"/>
            </a:solidFill>
            <a:effectLst/>
            <a:latin typeface="+mn-lt"/>
            <a:ea typeface="+mn-ea"/>
            <a:cs typeface="+mn-cs"/>
          </a:endParaRPr>
        </a:p>
        <a:p>
          <a:pPr lvl="0"/>
          <a:endParaRPr lang="en-US" sz="1100">
            <a:solidFill>
              <a:schemeClr val="dk1"/>
            </a:solidFill>
            <a:effectLst/>
            <a:latin typeface="+mn-lt"/>
            <a:ea typeface="+mn-ea"/>
            <a:cs typeface="+mn-cs"/>
          </a:endParaRPr>
        </a:p>
        <a:p>
          <a:pPr lvl="0"/>
          <a:endParaRPr lang="en-US"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2:Q89"/>
  <sheetViews>
    <sheetView showZeros="0" tabSelected="1" topLeftCell="B1" zoomScale="80" zoomScaleNormal="80" workbookViewId="0">
      <selection activeCell="O15" sqref="O15"/>
    </sheetView>
  </sheetViews>
  <sheetFormatPr baseColWidth="10" defaultColWidth="8.83203125" defaultRowHeight="15" x14ac:dyDescent="0.2"/>
  <cols>
    <col min="1" max="1" width="16" customWidth="1"/>
    <col min="2" max="2" width="17.1640625" customWidth="1"/>
    <col min="3" max="3" width="52.33203125" customWidth="1"/>
    <col min="4" max="4" width="35.5" customWidth="1"/>
    <col min="5" max="5" width="31.83203125" customWidth="1"/>
    <col min="6" max="6" width="31.6640625" customWidth="1"/>
    <col min="7" max="7" width="47.83203125" customWidth="1"/>
    <col min="8" max="8" width="47.5" hidden="1" customWidth="1"/>
    <col min="9" max="9" width="13.1640625" hidden="1" customWidth="1"/>
    <col min="10" max="10" width="28.83203125" hidden="1" customWidth="1"/>
    <col min="11" max="11" width="27.33203125" style="5" hidden="1" customWidth="1"/>
    <col min="12" max="12" width="15.83203125" style="5" hidden="1" customWidth="1"/>
    <col min="13" max="13" width="25.5" style="5" hidden="1" customWidth="1"/>
    <col min="14" max="14" width="20.5" style="5" hidden="1" customWidth="1"/>
    <col min="15" max="15" width="38.1640625" style="5" customWidth="1"/>
    <col min="16" max="16" width="29.5" customWidth="1"/>
    <col min="17" max="17" width="41.83203125" customWidth="1"/>
    <col min="18" max="19" width="27.33203125" customWidth="1"/>
    <col min="20" max="20" width="24.33203125" customWidth="1"/>
  </cols>
  <sheetData>
    <row r="22" spans="1:17" ht="16" thickBot="1" x14ac:dyDescent="0.25"/>
    <row r="23" spans="1:17" ht="25" thickBot="1" x14ac:dyDescent="0.25">
      <c r="C23" s="42" t="s">
        <v>19</v>
      </c>
      <c r="D23" s="43"/>
      <c r="E23" s="43"/>
      <c r="F23" s="43"/>
      <c r="G23" s="44"/>
    </row>
    <row r="24" spans="1:17" ht="16" thickBot="1" x14ac:dyDescent="0.25">
      <c r="C24" s="38" t="s">
        <v>10</v>
      </c>
      <c r="D24" s="51" t="s">
        <v>2</v>
      </c>
      <c r="E24" s="51"/>
      <c r="F24" s="51"/>
      <c r="G24" s="52"/>
    </row>
    <row r="25" spans="1:17" ht="16" thickBot="1" x14ac:dyDescent="0.25">
      <c r="C25" s="40" t="s">
        <v>30</v>
      </c>
      <c r="D25" s="48">
        <v>200</v>
      </c>
      <c r="E25" s="49"/>
      <c r="F25" s="49"/>
      <c r="G25" s="50"/>
    </row>
    <row r="26" spans="1:17" ht="16" thickBot="1" x14ac:dyDescent="0.25">
      <c r="C26" s="39" t="s">
        <v>18</v>
      </c>
      <c r="D26" s="48">
        <v>20</v>
      </c>
      <c r="E26" s="49"/>
      <c r="F26" s="49"/>
      <c r="G26" s="50"/>
      <c r="P26" s="16"/>
      <c r="Q26" s="5"/>
    </row>
    <row r="27" spans="1:17" ht="16" thickBot="1" x14ac:dyDescent="0.25">
      <c r="C27" s="41" t="s">
        <v>31</v>
      </c>
      <c r="D27" s="48">
        <v>20</v>
      </c>
      <c r="E27" s="49"/>
      <c r="F27" s="49"/>
      <c r="G27" s="50"/>
      <c r="P27" s="16"/>
      <c r="Q27" s="5"/>
    </row>
    <row r="28" spans="1:17" ht="16" thickBot="1" x14ac:dyDescent="0.25">
      <c r="C28" s="41" t="s">
        <v>32</v>
      </c>
      <c r="D28" s="48">
        <v>10</v>
      </c>
      <c r="E28" s="49"/>
      <c r="F28" s="49"/>
      <c r="G28" s="50"/>
      <c r="P28" s="16"/>
      <c r="Q28" s="5"/>
    </row>
    <row r="29" spans="1:17" ht="16" thickBot="1" x14ac:dyDescent="0.25">
      <c r="C29" s="7" t="s">
        <v>26</v>
      </c>
      <c r="D29" s="53">
        <v>43136</v>
      </c>
      <c r="E29" s="53"/>
      <c r="F29" s="53"/>
      <c r="G29" s="54"/>
      <c r="P29" s="16"/>
      <c r="Q29" s="5"/>
    </row>
    <row r="30" spans="1:17" ht="52.5" customHeight="1" thickBot="1" x14ac:dyDescent="0.25">
      <c r="C30" s="45" t="s">
        <v>23</v>
      </c>
      <c r="D30" s="46"/>
      <c r="E30" s="46"/>
      <c r="F30" s="46"/>
      <c r="G30" s="47"/>
      <c r="P30" s="16"/>
      <c r="Q30" s="5"/>
    </row>
    <row r="31" spans="1:17" ht="16" thickBot="1" x14ac:dyDescent="0.25">
      <c r="C31" s="6" t="s">
        <v>8</v>
      </c>
      <c r="D31" s="6" t="s">
        <v>24</v>
      </c>
      <c r="E31" s="6" t="s">
        <v>25</v>
      </c>
      <c r="F31" s="6" t="s">
        <v>29</v>
      </c>
      <c r="G31" s="6" t="s">
        <v>28</v>
      </c>
      <c r="I31" s="5"/>
      <c r="J31" s="5"/>
      <c r="K31" s="5" t="s">
        <v>24</v>
      </c>
      <c r="L31" s="5" t="s">
        <v>33</v>
      </c>
      <c r="M31" s="5" t="s">
        <v>25</v>
      </c>
      <c r="N31" s="5" t="s">
        <v>34</v>
      </c>
      <c r="P31" s="5"/>
      <c r="Q31" s="5"/>
    </row>
    <row r="32" spans="1:17" x14ac:dyDescent="0.2">
      <c r="A32" s="5" t="str">
        <f t="shared" ref="A32:A42" si="0">IF(G32&gt;=D$27,"YES","NO")</f>
        <v>YES</v>
      </c>
      <c r="B32" s="5"/>
      <c r="C32" s="55" t="s">
        <v>38</v>
      </c>
      <c r="D32" s="12">
        <f>D29</f>
        <v>43136</v>
      </c>
      <c r="E32" s="12">
        <f>D32+6</f>
        <v>43142</v>
      </c>
      <c r="F32" s="8">
        <f>D25</f>
        <v>200</v>
      </c>
      <c r="G32" s="8">
        <v>100</v>
      </c>
      <c r="H32" s="5">
        <f t="shared" ref="H32:H42" si="1">IF(G32&lt;=D$27,F32,0)</f>
        <v>0</v>
      </c>
      <c r="I32" s="5">
        <f t="shared" ref="I32:I42" si="2">IF(I31&gt;0,0,(IF(H32&gt;0,(H32-((H32*D$28)/100)),0)))</f>
        <v>0</v>
      </c>
      <c r="J32" s="17">
        <f>I32</f>
        <v>0</v>
      </c>
      <c r="K32" s="15">
        <f t="shared" ref="K32:K42" si="3">IF(I32&gt;0,D32+7,0)</f>
        <v>0</v>
      </c>
      <c r="L32" s="16">
        <f>K32</f>
        <v>0</v>
      </c>
      <c r="M32" s="15">
        <f t="shared" ref="M32:M42" si="4">IF(K32&gt;0,(K32+6),0)</f>
        <v>0</v>
      </c>
      <c r="N32" s="17">
        <f>M32</f>
        <v>0</v>
      </c>
      <c r="P32" s="5"/>
      <c r="Q32" s="5"/>
    </row>
    <row r="33" spans="1:17" x14ac:dyDescent="0.2">
      <c r="A33" s="5" t="str">
        <f t="shared" si="0"/>
        <v>YES</v>
      </c>
      <c r="B33" s="5"/>
      <c r="C33" s="56"/>
      <c r="D33" s="13">
        <f>E32+1</f>
        <v>43143</v>
      </c>
      <c r="E33" s="13">
        <f>D33+6</f>
        <v>43149</v>
      </c>
      <c r="F33" s="2">
        <f>MAX(D$25-((D$25*D$26)/100),0)</f>
        <v>160</v>
      </c>
      <c r="G33" s="2">
        <f>MAX(100-(D26),0)</f>
        <v>80</v>
      </c>
      <c r="H33" s="5">
        <f t="shared" si="1"/>
        <v>0</v>
      </c>
      <c r="I33" s="5">
        <f t="shared" si="2"/>
        <v>0</v>
      </c>
      <c r="J33" s="17">
        <f t="shared" ref="J33:J42" si="5">I33</f>
        <v>0</v>
      </c>
      <c r="K33" s="15">
        <f t="shared" si="3"/>
        <v>0</v>
      </c>
      <c r="L33" s="16">
        <f t="shared" ref="L33:L42" si="6">K33</f>
        <v>0</v>
      </c>
      <c r="M33" s="15">
        <f t="shared" si="4"/>
        <v>0</v>
      </c>
      <c r="N33" s="17">
        <f t="shared" ref="N33:N42" si="7">M33</f>
        <v>0</v>
      </c>
      <c r="P33" s="5"/>
      <c r="Q33" s="5"/>
    </row>
    <row r="34" spans="1:17" x14ac:dyDescent="0.2">
      <c r="A34" s="5" t="str">
        <f t="shared" si="0"/>
        <v>YES</v>
      </c>
      <c r="B34" s="5"/>
      <c r="C34" s="56"/>
      <c r="D34" s="13">
        <f t="shared" ref="D34:D42" si="8">E33+1</f>
        <v>43150</v>
      </c>
      <c r="E34" s="13">
        <f t="shared" ref="E34:E42" si="9">D34+6</f>
        <v>43156</v>
      </c>
      <c r="F34" s="2">
        <f>MAX(D$25-(((D$25*D$26)/100)*2),0)</f>
        <v>120</v>
      </c>
      <c r="G34" s="2">
        <f>MAX((100-D26*2),0)</f>
        <v>60</v>
      </c>
      <c r="H34" s="5">
        <f t="shared" si="1"/>
        <v>0</v>
      </c>
      <c r="I34" s="5">
        <f t="shared" si="2"/>
        <v>0</v>
      </c>
      <c r="J34" s="17">
        <f t="shared" si="5"/>
        <v>0</v>
      </c>
      <c r="K34" s="15">
        <f t="shared" si="3"/>
        <v>0</v>
      </c>
      <c r="L34" s="16">
        <f t="shared" si="6"/>
        <v>0</v>
      </c>
      <c r="M34" s="15">
        <f t="shared" si="4"/>
        <v>0</v>
      </c>
      <c r="N34" s="17">
        <f t="shared" si="7"/>
        <v>0</v>
      </c>
      <c r="P34" s="5"/>
      <c r="Q34" s="5"/>
    </row>
    <row r="35" spans="1:17" x14ac:dyDescent="0.2">
      <c r="A35" s="5" t="str">
        <f t="shared" si="0"/>
        <v>YES</v>
      </c>
      <c r="B35" s="5"/>
      <c r="C35" s="56"/>
      <c r="D35" s="13">
        <f t="shared" si="8"/>
        <v>43157</v>
      </c>
      <c r="E35" s="13">
        <f t="shared" si="9"/>
        <v>43163</v>
      </c>
      <c r="F35" s="2">
        <f>MAX(D$25-(((D$25*D$26)/100)*3),0)</f>
        <v>80</v>
      </c>
      <c r="G35" s="2">
        <f>MAX((100-D26*3),0)</f>
        <v>40</v>
      </c>
      <c r="H35" s="5">
        <f t="shared" si="1"/>
        <v>0</v>
      </c>
      <c r="I35" s="5">
        <f t="shared" si="2"/>
        <v>0</v>
      </c>
      <c r="J35" s="17">
        <f t="shared" si="5"/>
        <v>0</v>
      </c>
      <c r="K35" s="15">
        <f t="shared" si="3"/>
        <v>0</v>
      </c>
      <c r="L35" s="16">
        <f t="shared" si="6"/>
        <v>0</v>
      </c>
      <c r="M35" s="15">
        <f t="shared" si="4"/>
        <v>0</v>
      </c>
      <c r="N35" s="17">
        <f t="shared" si="7"/>
        <v>0</v>
      </c>
      <c r="P35" s="5"/>
      <c r="Q35" s="5"/>
    </row>
    <row r="36" spans="1:17" x14ac:dyDescent="0.2">
      <c r="A36" s="5" t="str">
        <f t="shared" si="0"/>
        <v>YES</v>
      </c>
      <c r="B36" s="5"/>
      <c r="C36" s="56"/>
      <c r="D36" s="13">
        <f t="shared" si="8"/>
        <v>43164</v>
      </c>
      <c r="E36" s="13">
        <f t="shared" si="9"/>
        <v>43170</v>
      </c>
      <c r="F36" s="2">
        <f>MAX(D$25-(((D$25*D$26)/100)*4),0)</f>
        <v>40</v>
      </c>
      <c r="G36" s="2">
        <f>MAX((100-D26*4),0)</f>
        <v>20</v>
      </c>
      <c r="H36" s="5">
        <f t="shared" si="1"/>
        <v>40</v>
      </c>
      <c r="I36" s="5">
        <f t="shared" si="2"/>
        <v>36</v>
      </c>
      <c r="J36" s="17">
        <f t="shared" si="5"/>
        <v>36</v>
      </c>
      <c r="K36" s="15">
        <f t="shared" si="3"/>
        <v>43171</v>
      </c>
      <c r="L36" s="16">
        <f t="shared" si="6"/>
        <v>43171</v>
      </c>
      <c r="M36" s="15">
        <f t="shared" si="4"/>
        <v>43177</v>
      </c>
      <c r="N36" s="17">
        <f t="shared" si="7"/>
        <v>43177</v>
      </c>
      <c r="P36" s="5"/>
      <c r="Q36" s="5"/>
    </row>
    <row r="37" spans="1:17" x14ac:dyDescent="0.2">
      <c r="A37" s="5" t="str">
        <f t="shared" si="0"/>
        <v>NO</v>
      </c>
      <c r="B37" s="5"/>
      <c r="C37" s="56"/>
      <c r="D37" s="13">
        <f t="shared" si="8"/>
        <v>43171</v>
      </c>
      <c r="E37" s="13">
        <f t="shared" si="9"/>
        <v>43177</v>
      </c>
      <c r="F37" s="2">
        <f>MAX(D$25-(((D$25*D$26)/100)*5),0)</f>
        <v>0</v>
      </c>
      <c r="G37" s="2">
        <f>MAX((100-D26*5),0)</f>
        <v>0</v>
      </c>
      <c r="H37" s="5">
        <f t="shared" si="1"/>
        <v>0</v>
      </c>
      <c r="I37" s="5">
        <f t="shared" si="2"/>
        <v>0</v>
      </c>
      <c r="J37" s="17">
        <f t="shared" si="5"/>
        <v>0</v>
      </c>
      <c r="K37" s="15">
        <f t="shared" si="3"/>
        <v>0</v>
      </c>
      <c r="L37" s="16">
        <f t="shared" si="6"/>
        <v>0</v>
      </c>
      <c r="M37" s="15">
        <f t="shared" si="4"/>
        <v>0</v>
      </c>
      <c r="N37" s="17">
        <f t="shared" si="7"/>
        <v>0</v>
      </c>
      <c r="P37" s="5"/>
      <c r="Q37" s="5"/>
    </row>
    <row r="38" spans="1:17" x14ac:dyDescent="0.2">
      <c r="A38" s="5" t="str">
        <f t="shared" si="0"/>
        <v>NO</v>
      </c>
      <c r="B38" s="5"/>
      <c r="C38" s="56"/>
      <c r="D38" s="13">
        <f t="shared" si="8"/>
        <v>43178</v>
      </c>
      <c r="E38" s="13">
        <f t="shared" si="9"/>
        <v>43184</v>
      </c>
      <c r="F38" s="2">
        <f>MAX(D$25-(((D$25*D$26)/100)*6),0)</f>
        <v>0</v>
      </c>
      <c r="G38" s="2">
        <f>MAX((100-D26*6),0)</f>
        <v>0</v>
      </c>
      <c r="H38" s="5">
        <f t="shared" si="1"/>
        <v>0</v>
      </c>
      <c r="I38" s="5">
        <f t="shared" si="2"/>
        <v>0</v>
      </c>
      <c r="J38" s="17">
        <f t="shared" si="5"/>
        <v>0</v>
      </c>
      <c r="K38" s="15">
        <f t="shared" si="3"/>
        <v>0</v>
      </c>
      <c r="L38" s="16">
        <f t="shared" si="6"/>
        <v>0</v>
      </c>
      <c r="M38" s="15">
        <f t="shared" si="4"/>
        <v>0</v>
      </c>
      <c r="N38" s="17">
        <f t="shared" si="7"/>
        <v>0</v>
      </c>
      <c r="P38" s="5"/>
      <c r="Q38" s="5"/>
    </row>
    <row r="39" spans="1:17" x14ac:dyDescent="0.2">
      <c r="A39" s="5" t="str">
        <f t="shared" si="0"/>
        <v>NO</v>
      </c>
      <c r="B39" s="5"/>
      <c r="C39" s="56"/>
      <c r="D39" s="13">
        <f t="shared" si="8"/>
        <v>43185</v>
      </c>
      <c r="E39" s="13">
        <f t="shared" si="9"/>
        <v>43191</v>
      </c>
      <c r="F39" s="2">
        <f>MAX(D$25-(((D$25*D$26)/100)*7),0)</f>
        <v>0</v>
      </c>
      <c r="G39" s="2">
        <f>MAX((100-D26*7),0)</f>
        <v>0</v>
      </c>
      <c r="H39" s="5">
        <f t="shared" si="1"/>
        <v>0</v>
      </c>
      <c r="I39" s="5">
        <f t="shared" si="2"/>
        <v>0</v>
      </c>
      <c r="J39" s="17">
        <f t="shared" si="5"/>
        <v>0</v>
      </c>
      <c r="K39" s="15">
        <f t="shared" si="3"/>
        <v>0</v>
      </c>
      <c r="L39" s="16">
        <f t="shared" si="6"/>
        <v>0</v>
      </c>
      <c r="M39" s="15">
        <f t="shared" si="4"/>
        <v>0</v>
      </c>
      <c r="N39" s="17">
        <f t="shared" si="7"/>
        <v>0</v>
      </c>
      <c r="P39" s="5"/>
      <c r="Q39" s="5"/>
    </row>
    <row r="40" spans="1:17" x14ac:dyDescent="0.2">
      <c r="A40" s="5" t="str">
        <f t="shared" si="0"/>
        <v>NO</v>
      </c>
      <c r="B40" s="5"/>
      <c r="C40" s="56"/>
      <c r="D40" s="13">
        <f t="shared" si="8"/>
        <v>43192</v>
      </c>
      <c r="E40" s="13">
        <f t="shared" si="9"/>
        <v>43198</v>
      </c>
      <c r="F40" s="2">
        <f>MAX(D$25-(((D$25*D$26)/100)*8),0)</f>
        <v>0</v>
      </c>
      <c r="G40" s="2">
        <f>MAX((100-D26*8),0)</f>
        <v>0</v>
      </c>
      <c r="H40" s="5">
        <f t="shared" si="1"/>
        <v>0</v>
      </c>
      <c r="I40" s="5">
        <f t="shared" si="2"/>
        <v>0</v>
      </c>
      <c r="J40" s="17">
        <f t="shared" si="5"/>
        <v>0</v>
      </c>
      <c r="K40" s="15">
        <f t="shared" si="3"/>
        <v>0</v>
      </c>
      <c r="L40" s="16">
        <f t="shared" si="6"/>
        <v>0</v>
      </c>
      <c r="M40" s="15">
        <f t="shared" si="4"/>
        <v>0</v>
      </c>
      <c r="N40" s="17">
        <f t="shared" si="7"/>
        <v>0</v>
      </c>
      <c r="P40" s="5"/>
      <c r="Q40" s="5"/>
    </row>
    <row r="41" spans="1:17" x14ac:dyDescent="0.2">
      <c r="A41" s="5" t="str">
        <f t="shared" si="0"/>
        <v>NO</v>
      </c>
      <c r="B41" s="5"/>
      <c r="C41" s="56"/>
      <c r="D41" s="13">
        <f t="shared" si="8"/>
        <v>43199</v>
      </c>
      <c r="E41" s="13">
        <f t="shared" si="9"/>
        <v>43205</v>
      </c>
      <c r="F41" s="2">
        <f>MAX(D$25-(((D$25*D$26)/100)*9),0)</f>
        <v>0</v>
      </c>
      <c r="G41" s="2">
        <f>MAX((100-D26*9),0)</f>
        <v>0</v>
      </c>
      <c r="H41" s="5">
        <f t="shared" si="1"/>
        <v>0</v>
      </c>
      <c r="I41" s="5">
        <f t="shared" si="2"/>
        <v>0</v>
      </c>
      <c r="J41" s="17">
        <f t="shared" si="5"/>
        <v>0</v>
      </c>
      <c r="K41" s="5">
        <f t="shared" si="3"/>
        <v>0</v>
      </c>
      <c r="L41" s="16">
        <f t="shared" si="6"/>
        <v>0</v>
      </c>
      <c r="M41" s="15">
        <f t="shared" si="4"/>
        <v>0</v>
      </c>
      <c r="N41" s="17">
        <f t="shared" si="7"/>
        <v>0</v>
      </c>
      <c r="P41" s="5"/>
      <c r="Q41" s="5"/>
    </row>
    <row r="42" spans="1:17" ht="16" thickBot="1" x14ac:dyDescent="0.25">
      <c r="A42" s="5" t="str">
        <f t="shared" si="0"/>
        <v>NO</v>
      </c>
      <c r="B42" s="5"/>
      <c r="C42" s="57"/>
      <c r="D42" s="14">
        <f t="shared" si="8"/>
        <v>43206</v>
      </c>
      <c r="E42" s="14">
        <f t="shared" si="9"/>
        <v>43212</v>
      </c>
      <c r="F42" s="3">
        <f>MAX($D25-(((D$25*D$26)/100)*10),0)</f>
        <v>0</v>
      </c>
      <c r="G42" s="3">
        <f>MAX((100-D26*10),0)</f>
        <v>0</v>
      </c>
      <c r="H42" s="5">
        <f t="shared" si="1"/>
        <v>0</v>
      </c>
      <c r="I42" s="5">
        <f t="shared" si="2"/>
        <v>0</v>
      </c>
      <c r="J42" s="17">
        <f t="shared" si="5"/>
        <v>0</v>
      </c>
      <c r="K42" s="5">
        <f t="shared" si="3"/>
        <v>0</v>
      </c>
      <c r="L42" s="16">
        <f t="shared" si="6"/>
        <v>0</v>
      </c>
      <c r="M42" s="15">
        <f t="shared" si="4"/>
        <v>0</v>
      </c>
      <c r="N42" s="17">
        <f t="shared" si="7"/>
        <v>0</v>
      </c>
      <c r="P42" s="5"/>
      <c r="Q42" s="5"/>
    </row>
    <row r="43" spans="1:17" ht="16" thickBot="1" x14ac:dyDescent="0.25">
      <c r="C43" s="19" t="s">
        <v>8</v>
      </c>
      <c r="D43" s="20" t="s">
        <v>36</v>
      </c>
      <c r="E43" s="18" t="s">
        <v>37</v>
      </c>
      <c r="F43" s="19" t="s">
        <v>35</v>
      </c>
      <c r="G43" s="20" t="s">
        <v>40</v>
      </c>
      <c r="P43" s="5"/>
      <c r="Q43" s="5"/>
    </row>
    <row r="44" spans="1:17" x14ac:dyDescent="0.2">
      <c r="C44" s="58" t="s">
        <v>39</v>
      </c>
      <c r="D44" s="22">
        <f>SUM(L32:L42)</f>
        <v>43171</v>
      </c>
      <c r="E44" s="25">
        <f>SUM(N32:N42)</f>
        <v>43177</v>
      </c>
      <c r="F44" s="21">
        <f>SUM(J32:J42)</f>
        <v>36</v>
      </c>
      <c r="G44" s="9">
        <v>100</v>
      </c>
      <c r="P44" s="5"/>
      <c r="Q44" s="5"/>
    </row>
    <row r="45" spans="1:17" x14ac:dyDescent="0.2">
      <c r="C45" s="59"/>
      <c r="D45" s="23">
        <f t="shared" ref="D45:D54" si="10">E44+1</f>
        <v>43178</v>
      </c>
      <c r="E45" s="26">
        <f t="shared" ref="E45:E54" si="11">D45+6</f>
        <v>43184</v>
      </c>
      <c r="F45" s="29">
        <f>MAX(F$44-((F$44*D$28)/100),0)</f>
        <v>32.4</v>
      </c>
      <c r="G45" s="10">
        <f>MAX(100-(D$28),0)</f>
        <v>90</v>
      </c>
      <c r="P45" s="5"/>
      <c r="Q45" s="5"/>
    </row>
    <row r="46" spans="1:17" x14ac:dyDescent="0.2">
      <c r="C46" s="59"/>
      <c r="D46" s="23">
        <f t="shared" si="10"/>
        <v>43185</v>
      </c>
      <c r="E46" s="26">
        <f t="shared" si="11"/>
        <v>43191</v>
      </c>
      <c r="F46" s="29">
        <f>MAX(F$44-(((F$44*D$28)/100)*2),0)</f>
        <v>28.8</v>
      </c>
      <c r="G46" s="10">
        <f>MAX(100-(D$28*2),0)</f>
        <v>80</v>
      </c>
      <c r="P46" s="5"/>
      <c r="Q46" s="5"/>
    </row>
    <row r="47" spans="1:17" x14ac:dyDescent="0.2">
      <c r="C47" s="59"/>
      <c r="D47" s="23">
        <f t="shared" si="10"/>
        <v>43192</v>
      </c>
      <c r="E47" s="26">
        <f t="shared" si="11"/>
        <v>43198</v>
      </c>
      <c r="F47" s="29">
        <f>MAX(F$44-(((F$44*D$28)/100)*3),0)</f>
        <v>25.2</v>
      </c>
      <c r="G47" s="10">
        <f>MAX(100-(D$28*3),0)</f>
        <v>70</v>
      </c>
      <c r="P47" s="5"/>
      <c r="Q47" s="5"/>
    </row>
    <row r="48" spans="1:17" x14ac:dyDescent="0.2">
      <c r="C48" s="59"/>
      <c r="D48" s="23">
        <f t="shared" si="10"/>
        <v>43199</v>
      </c>
      <c r="E48" s="26">
        <f t="shared" si="11"/>
        <v>43205</v>
      </c>
      <c r="F48" s="29">
        <f>MAX(F$44-(((F$44*D$28)/100)*4),0)</f>
        <v>21.6</v>
      </c>
      <c r="G48" s="10">
        <f>MAX(100-(D$28*4),0)</f>
        <v>60</v>
      </c>
      <c r="P48" s="5"/>
      <c r="Q48" s="5"/>
    </row>
    <row r="49" spans="3:7" x14ac:dyDescent="0.2">
      <c r="C49" s="59"/>
      <c r="D49" s="23">
        <f t="shared" si="10"/>
        <v>43206</v>
      </c>
      <c r="E49" s="26">
        <f t="shared" si="11"/>
        <v>43212</v>
      </c>
      <c r="F49" s="29">
        <f>MAX(F$44-(((F$44*D$28)/100)*5),0)</f>
        <v>18</v>
      </c>
      <c r="G49" s="10">
        <f>MAX(100-(D$28*5),0)</f>
        <v>50</v>
      </c>
    </row>
    <row r="50" spans="3:7" x14ac:dyDescent="0.2">
      <c r="C50" s="59"/>
      <c r="D50" s="23">
        <f t="shared" si="10"/>
        <v>43213</v>
      </c>
      <c r="E50" s="26">
        <f t="shared" si="11"/>
        <v>43219</v>
      </c>
      <c r="F50" s="29">
        <f>MAX(F$44-(((F$44*D$28)/100)*6),0)</f>
        <v>14.399999999999999</v>
      </c>
      <c r="G50" s="10">
        <f>MAX(100-(D$28*6),0)</f>
        <v>40</v>
      </c>
    </row>
    <row r="51" spans="3:7" x14ac:dyDescent="0.2">
      <c r="C51" s="59"/>
      <c r="D51" s="23">
        <f t="shared" si="10"/>
        <v>43220</v>
      </c>
      <c r="E51" s="26">
        <f t="shared" si="11"/>
        <v>43226</v>
      </c>
      <c r="F51" s="29">
        <f>MAX(F$44-(((F$44*D$28)/100)*7),0)</f>
        <v>10.8</v>
      </c>
      <c r="G51" s="10">
        <f>MAX(100-(D$28*7),0)</f>
        <v>30</v>
      </c>
    </row>
    <row r="52" spans="3:7" x14ac:dyDescent="0.2">
      <c r="C52" s="59"/>
      <c r="D52" s="23">
        <f t="shared" si="10"/>
        <v>43227</v>
      </c>
      <c r="E52" s="26">
        <f t="shared" si="11"/>
        <v>43233</v>
      </c>
      <c r="F52" s="29">
        <f>MAX(F$44-(((F$44*D$28)/100)*8),0)</f>
        <v>7.1999999999999993</v>
      </c>
      <c r="G52" s="10">
        <f>MAX(100-(D$28*8),0)</f>
        <v>20</v>
      </c>
    </row>
    <row r="53" spans="3:7" x14ac:dyDescent="0.2">
      <c r="C53" s="59"/>
      <c r="D53" s="23">
        <f t="shared" si="10"/>
        <v>43234</v>
      </c>
      <c r="E53" s="26">
        <f t="shared" si="11"/>
        <v>43240</v>
      </c>
      <c r="F53" s="29">
        <f>MAX(F$44-(((F$44*D$28)/100)*9),0)</f>
        <v>3.6000000000000014</v>
      </c>
      <c r="G53" s="10">
        <f>MAX(100-(D$28*9),0)</f>
        <v>10</v>
      </c>
    </row>
    <row r="54" spans="3:7" ht="16" thickBot="1" x14ac:dyDescent="0.25">
      <c r="C54" s="60"/>
      <c r="D54" s="24">
        <f t="shared" si="10"/>
        <v>43241</v>
      </c>
      <c r="E54" s="27">
        <f t="shared" si="11"/>
        <v>43247</v>
      </c>
      <c r="F54" s="30">
        <f>MAX(F$44-(((F$44*D$28)/100)*10),0)</f>
        <v>0</v>
      </c>
      <c r="G54" s="11">
        <f>MAX(100-(D$28*10),0)</f>
        <v>0</v>
      </c>
    </row>
    <row r="57" spans="3:7" ht="16" thickBot="1" x14ac:dyDescent="0.25"/>
    <row r="58" spans="3:7" ht="21.75" customHeight="1" thickBot="1" x14ac:dyDescent="0.25">
      <c r="C58" s="42" t="s">
        <v>20</v>
      </c>
      <c r="D58" s="43"/>
      <c r="E58" s="43"/>
      <c r="F58" s="43"/>
      <c r="G58" s="44"/>
    </row>
    <row r="59" spans="3:7" ht="15.75" customHeight="1" thickBot="1" x14ac:dyDescent="0.25">
      <c r="C59" s="38" t="s">
        <v>10</v>
      </c>
      <c r="D59" s="51" t="s">
        <v>11</v>
      </c>
      <c r="E59" s="51"/>
      <c r="F59" s="51"/>
      <c r="G59" s="52"/>
    </row>
    <row r="60" spans="3:7" ht="15.75" customHeight="1" thickBot="1" x14ac:dyDescent="0.25">
      <c r="C60" s="40" t="s">
        <v>30</v>
      </c>
      <c r="D60" s="48">
        <v>400</v>
      </c>
      <c r="E60" s="49"/>
      <c r="F60" s="49"/>
      <c r="G60" s="50"/>
    </row>
    <row r="61" spans="3:7" ht="15.75" customHeight="1" thickBot="1" x14ac:dyDescent="0.25">
      <c r="C61" s="39" t="s">
        <v>18</v>
      </c>
      <c r="D61" s="48">
        <v>20</v>
      </c>
      <c r="E61" s="49"/>
      <c r="F61" s="49"/>
      <c r="G61" s="50"/>
    </row>
    <row r="62" spans="3:7" ht="15.75" customHeight="1" thickBot="1" x14ac:dyDescent="0.25">
      <c r="C62" s="41" t="s">
        <v>31</v>
      </c>
      <c r="D62" s="48">
        <v>20</v>
      </c>
      <c r="E62" s="49"/>
      <c r="F62" s="49"/>
      <c r="G62" s="50"/>
    </row>
    <row r="63" spans="3:7" ht="16" thickBot="1" x14ac:dyDescent="0.25">
      <c r="C63" s="41" t="s">
        <v>32</v>
      </c>
      <c r="D63" s="48">
        <v>15</v>
      </c>
      <c r="E63" s="49"/>
      <c r="F63" s="49"/>
      <c r="G63" s="50"/>
    </row>
    <row r="64" spans="3:7" ht="27.75" customHeight="1" thickBot="1" x14ac:dyDescent="0.25">
      <c r="C64" s="7" t="s">
        <v>27</v>
      </c>
      <c r="D64" s="53">
        <v>43269</v>
      </c>
      <c r="E64" s="53"/>
      <c r="F64" s="53"/>
      <c r="G64" s="54"/>
    </row>
    <row r="65" spans="1:14" ht="15.75" customHeight="1" thickBot="1" x14ac:dyDescent="0.25">
      <c r="C65" s="45" t="s">
        <v>23</v>
      </c>
      <c r="D65" s="46"/>
      <c r="E65" s="46"/>
      <c r="F65" s="46"/>
      <c r="G65" s="47"/>
    </row>
    <row r="66" spans="1:14" ht="16" thickBot="1" x14ac:dyDescent="0.25">
      <c r="C66" s="6" t="s">
        <v>8</v>
      </c>
      <c r="D66" s="6" t="s">
        <v>24</v>
      </c>
      <c r="E66" s="6" t="s">
        <v>25</v>
      </c>
      <c r="F66" s="6" t="s">
        <v>29</v>
      </c>
      <c r="G66" s="6" t="s">
        <v>28</v>
      </c>
      <c r="I66" s="5"/>
      <c r="J66" s="5"/>
      <c r="K66" s="5" t="s">
        <v>24</v>
      </c>
      <c r="L66" s="5" t="s">
        <v>33</v>
      </c>
      <c r="M66" s="5" t="s">
        <v>25</v>
      </c>
      <c r="N66" s="5" t="s">
        <v>34</v>
      </c>
    </row>
    <row r="67" spans="1:14" ht="15" customHeight="1" x14ac:dyDescent="0.2">
      <c r="A67" s="5" t="str">
        <f t="shared" ref="A67:A77" si="12">IF(G67&gt;=D$27,"YES","NO")</f>
        <v>YES</v>
      </c>
      <c r="B67" s="5"/>
      <c r="C67" s="55" t="s">
        <v>38</v>
      </c>
      <c r="D67" s="12">
        <f>D64</f>
        <v>43269</v>
      </c>
      <c r="E67" s="12">
        <f>D67+6</f>
        <v>43275</v>
      </c>
      <c r="F67" s="8">
        <f>D60</f>
        <v>400</v>
      </c>
      <c r="G67" s="8">
        <v>100</v>
      </c>
      <c r="H67" s="5">
        <f t="shared" ref="H67:H77" si="13">IF(G67&lt;=D$27,F67,0)</f>
        <v>0</v>
      </c>
      <c r="I67" s="5">
        <f t="shared" ref="I67:I77" si="14">IF(I66&gt;0,0,(IF(H67&gt;0,(H67-((H67*D$28)/100)),0)))</f>
        <v>0</v>
      </c>
      <c r="J67" s="17">
        <f>I67</f>
        <v>0</v>
      </c>
      <c r="K67" s="15">
        <f t="shared" ref="K67:K77" si="15">IF(I67&gt;0,D67+7,0)</f>
        <v>0</v>
      </c>
      <c r="L67" s="16">
        <f>K67</f>
        <v>0</v>
      </c>
      <c r="M67" s="15">
        <f t="shared" ref="M67:M77" si="16">IF(K67&gt;0,(K67+6),0)</f>
        <v>0</v>
      </c>
      <c r="N67" s="17">
        <f>M67</f>
        <v>0</v>
      </c>
    </row>
    <row r="68" spans="1:14" ht="15" customHeight="1" x14ac:dyDescent="0.2">
      <c r="A68" s="5" t="str">
        <f t="shared" si="12"/>
        <v>YES</v>
      </c>
      <c r="B68" s="5"/>
      <c r="C68" s="56"/>
      <c r="D68" s="13">
        <f>E67+1</f>
        <v>43276</v>
      </c>
      <c r="E68" s="13">
        <f>D68+6</f>
        <v>43282</v>
      </c>
      <c r="F68" s="2">
        <f>MAX(D$60-((D$60*D$61)/100),0)</f>
        <v>320</v>
      </c>
      <c r="G68" s="2">
        <f>MAX(100-(D61),0)</f>
        <v>80</v>
      </c>
      <c r="H68" s="5">
        <f t="shared" si="13"/>
        <v>0</v>
      </c>
      <c r="I68" s="5">
        <f t="shared" si="14"/>
        <v>0</v>
      </c>
      <c r="J68" s="17">
        <f t="shared" ref="J68:J77" si="17">I68</f>
        <v>0</v>
      </c>
      <c r="K68" s="15">
        <f t="shared" si="15"/>
        <v>0</v>
      </c>
      <c r="L68" s="16">
        <f t="shared" ref="L68:L77" si="18">K68</f>
        <v>0</v>
      </c>
      <c r="M68" s="15">
        <f t="shared" si="16"/>
        <v>0</v>
      </c>
      <c r="N68" s="17">
        <f t="shared" ref="N68:N77" si="19">M68</f>
        <v>0</v>
      </c>
    </row>
    <row r="69" spans="1:14" ht="15" customHeight="1" x14ac:dyDescent="0.2">
      <c r="A69" s="5" t="str">
        <f t="shared" si="12"/>
        <v>YES</v>
      </c>
      <c r="B69" s="5"/>
      <c r="C69" s="56"/>
      <c r="D69" s="13">
        <f t="shared" ref="D69:D77" si="20">E68+1</f>
        <v>43283</v>
      </c>
      <c r="E69" s="13">
        <f t="shared" ref="E69:E77" si="21">D69+6</f>
        <v>43289</v>
      </c>
      <c r="F69" s="2">
        <f>MAX(D$60-(((D$60*D$61)/100)*2),0)</f>
        <v>240</v>
      </c>
      <c r="G69" s="2">
        <f>MAX((100-D61*2),0)</f>
        <v>60</v>
      </c>
      <c r="H69" s="5">
        <f t="shared" si="13"/>
        <v>0</v>
      </c>
      <c r="I69" s="5">
        <f t="shared" si="14"/>
        <v>0</v>
      </c>
      <c r="J69" s="17">
        <f t="shared" si="17"/>
        <v>0</v>
      </c>
      <c r="K69" s="15">
        <f t="shared" si="15"/>
        <v>0</v>
      </c>
      <c r="L69" s="16">
        <f t="shared" si="18"/>
        <v>0</v>
      </c>
      <c r="M69" s="15">
        <f t="shared" si="16"/>
        <v>0</v>
      </c>
      <c r="N69" s="17">
        <f t="shared" si="19"/>
        <v>0</v>
      </c>
    </row>
    <row r="70" spans="1:14" ht="15" customHeight="1" x14ac:dyDescent="0.2">
      <c r="A70" s="5" t="str">
        <f t="shared" si="12"/>
        <v>YES</v>
      </c>
      <c r="B70" s="5"/>
      <c r="C70" s="56"/>
      <c r="D70" s="13">
        <f t="shared" si="20"/>
        <v>43290</v>
      </c>
      <c r="E70" s="13">
        <f t="shared" si="21"/>
        <v>43296</v>
      </c>
      <c r="F70" s="2">
        <f>MAX(D$60-(((D$60*D$61)/100)*3),0)</f>
        <v>160</v>
      </c>
      <c r="G70" s="2">
        <f>MAX((100-D61*3),0)</f>
        <v>40</v>
      </c>
      <c r="H70" s="5">
        <f t="shared" si="13"/>
        <v>0</v>
      </c>
      <c r="I70" s="5">
        <f t="shared" si="14"/>
        <v>0</v>
      </c>
      <c r="J70" s="17">
        <f t="shared" si="17"/>
        <v>0</v>
      </c>
      <c r="K70" s="15">
        <f t="shared" si="15"/>
        <v>0</v>
      </c>
      <c r="L70" s="16">
        <f t="shared" si="18"/>
        <v>0</v>
      </c>
      <c r="M70" s="15">
        <f t="shared" si="16"/>
        <v>0</v>
      </c>
      <c r="N70" s="17">
        <f t="shared" si="19"/>
        <v>0</v>
      </c>
    </row>
    <row r="71" spans="1:14" ht="15" customHeight="1" x14ac:dyDescent="0.2">
      <c r="A71" s="5" t="str">
        <f t="shared" si="12"/>
        <v>YES</v>
      </c>
      <c r="B71" s="5"/>
      <c r="C71" s="56"/>
      <c r="D71" s="13">
        <f t="shared" si="20"/>
        <v>43297</v>
      </c>
      <c r="E71" s="13">
        <f t="shared" si="21"/>
        <v>43303</v>
      </c>
      <c r="F71" s="2">
        <f>MAX(D$60-(((D$60*D$61)/100)*4),0)</f>
        <v>80</v>
      </c>
      <c r="G71" s="2">
        <f>MAX((100-D61*4),0)</f>
        <v>20</v>
      </c>
      <c r="H71" s="5">
        <f t="shared" si="13"/>
        <v>80</v>
      </c>
      <c r="I71" s="5">
        <f t="shared" si="14"/>
        <v>72</v>
      </c>
      <c r="J71" s="17">
        <f t="shared" si="17"/>
        <v>72</v>
      </c>
      <c r="K71" s="15">
        <f t="shared" si="15"/>
        <v>43304</v>
      </c>
      <c r="L71" s="16">
        <f t="shared" si="18"/>
        <v>43304</v>
      </c>
      <c r="M71" s="15">
        <f t="shared" si="16"/>
        <v>43310</v>
      </c>
      <c r="N71" s="17">
        <f t="shared" si="19"/>
        <v>43310</v>
      </c>
    </row>
    <row r="72" spans="1:14" ht="15" customHeight="1" x14ac:dyDescent="0.2">
      <c r="A72" s="5" t="str">
        <f t="shared" si="12"/>
        <v>NO</v>
      </c>
      <c r="B72" s="5"/>
      <c r="C72" s="56"/>
      <c r="D72" s="13">
        <f t="shared" si="20"/>
        <v>43304</v>
      </c>
      <c r="E72" s="13">
        <f t="shared" si="21"/>
        <v>43310</v>
      </c>
      <c r="F72" s="2">
        <f>MAX(D$60-(((D$60*D$61)/100)*5),0)</f>
        <v>0</v>
      </c>
      <c r="G72" s="2">
        <f>MAX((100-D61*5),0)</f>
        <v>0</v>
      </c>
      <c r="H72" s="5">
        <f t="shared" si="13"/>
        <v>0</v>
      </c>
      <c r="I72" s="5">
        <f t="shared" si="14"/>
        <v>0</v>
      </c>
      <c r="J72" s="17">
        <f t="shared" si="17"/>
        <v>0</v>
      </c>
      <c r="K72" s="15">
        <f t="shared" si="15"/>
        <v>0</v>
      </c>
      <c r="L72" s="16">
        <f t="shared" si="18"/>
        <v>0</v>
      </c>
      <c r="M72" s="15">
        <f t="shared" si="16"/>
        <v>0</v>
      </c>
      <c r="N72" s="17">
        <f t="shared" si="19"/>
        <v>0</v>
      </c>
    </row>
    <row r="73" spans="1:14" ht="15" customHeight="1" x14ac:dyDescent="0.2">
      <c r="A73" s="5" t="str">
        <f t="shared" si="12"/>
        <v>NO</v>
      </c>
      <c r="B73" s="5"/>
      <c r="C73" s="56"/>
      <c r="D73" s="13">
        <f t="shared" si="20"/>
        <v>43311</v>
      </c>
      <c r="E73" s="13">
        <f t="shared" si="21"/>
        <v>43317</v>
      </c>
      <c r="F73" s="2">
        <f>MAX(D$60-(((D$60*D$61)/100)*6),0)</f>
        <v>0</v>
      </c>
      <c r="G73" s="2">
        <f>MAX((100-D61*6),0)</f>
        <v>0</v>
      </c>
      <c r="H73" s="5">
        <f t="shared" si="13"/>
        <v>0</v>
      </c>
      <c r="I73" s="5">
        <f t="shared" si="14"/>
        <v>0</v>
      </c>
      <c r="J73" s="17">
        <f t="shared" si="17"/>
        <v>0</v>
      </c>
      <c r="K73" s="15">
        <f t="shared" si="15"/>
        <v>0</v>
      </c>
      <c r="L73" s="16">
        <f t="shared" si="18"/>
        <v>0</v>
      </c>
      <c r="M73" s="15">
        <f t="shared" si="16"/>
        <v>0</v>
      </c>
      <c r="N73" s="17">
        <f t="shared" si="19"/>
        <v>0</v>
      </c>
    </row>
    <row r="74" spans="1:14" ht="15" customHeight="1" x14ac:dyDescent="0.2">
      <c r="A74" s="5" t="str">
        <f t="shared" si="12"/>
        <v>NO</v>
      </c>
      <c r="B74" s="5"/>
      <c r="C74" s="56"/>
      <c r="D74" s="13">
        <f t="shared" si="20"/>
        <v>43318</v>
      </c>
      <c r="E74" s="13">
        <f t="shared" si="21"/>
        <v>43324</v>
      </c>
      <c r="F74" s="2">
        <f>MAX(D$60-(((D$60*D$61)/100)*7),0)</f>
        <v>0</v>
      </c>
      <c r="G74" s="2">
        <f>MAX((100-D61*7),0)</f>
        <v>0</v>
      </c>
      <c r="H74" s="5">
        <f t="shared" si="13"/>
        <v>0</v>
      </c>
      <c r="I74" s="5">
        <f t="shared" si="14"/>
        <v>0</v>
      </c>
      <c r="J74" s="17">
        <f t="shared" si="17"/>
        <v>0</v>
      </c>
      <c r="K74" s="15">
        <f t="shared" si="15"/>
        <v>0</v>
      </c>
      <c r="L74" s="16">
        <f t="shared" si="18"/>
        <v>0</v>
      </c>
      <c r="M74" s="15">
        <f t="shared" si="16"/>
        <v>0</v>
      </c>
      <c r="N74" s="17">
        <f t="shared" si="19"/>
        <v>0</v>
      </c>
    </row>
    <row r="75" spans="1:14" ht="15" customHeight="1" x14ac:dyDescent="0.2">
      <c r="A75" s="5" t="str">
        <f t="shared" si="12"/>
        <v>NO</v>
      </c>
      <c r="B75" s="5"/>
      <c r="C75" s="56"/>
      <c r="D75" s="13">
        <f t="shared" si="20"/>
        <v>43325</v>
      </c>
      <c r="E75" s="13">
        <f t="shared" si="21"/>
        <v>43331</v>
      </c>
      <c r="F75" s="2">
        <f>MAX(D$60-(((D$60*D$61)/100)*8),0)</f>
        <v>0</v>
      </c>
      <c r="G75" s="2">
        <f>MAX((100-D61*8),0)</f>
        <v>0</v>
      </c>
      <c r="H75" s="5">
        <f t="shared" si="13"/>
        <v>0</v>
      </c>
      <c r="I75" s="5">
        <f t="shared" si="14"/>
        <v>0</v>
      </c>
      <c r="J75" s="17">
        <f t="shared" si="17"/>
        <v>0</v>
      </c>
      <c r="K75" s="15">
        <f t="shared" si="15"/>
        <v>0</v>
      </c>
      <c r="L75" s="16">
        <f t="shared" si="18"/>
        <v>0</v>
      </c>
      <c r="M75" s="15">
        <f t="shared" si="16"/>
        <v>0</v>
      </c>
      <c r="N75" s="17">
        <f t="shared" si="19"/>
        <v>0</v>
      </c>
    </row>
    <row r="76" spans="1:14" ht="15" customHeight="1" x14ac:dyDescent="0.2">
      <c r="A76" s="5" t="str">
        <f t="shared" si="12"/>
        <v>NO</v>
      </c>
      <c r="B76" s="5"/>
      <c r="C76" s="56"/>
      <c r="D76" s="13">
        <f t="shared" si="20"/>
        <v>43332</v>
      </c>
      <c r="E76" s="13">
        <f t="shared" si="21"/>
        <v>43338</v>
      </c>
      <c r="F76" s="2">
        <f>MAX(D$60-(((D$60*D$61)/100)*9),0)</f>
        <v>0</v>
      </c>
      <c r="G76" s="2">
        <f>MAX((100-D61*9),0)</f>
        <v>0</v>
      </c>
      <c r="H76" s="5">
        <f t="shared" si="13"/>
        <v>0</v>
      </c>
      <c r="I76" s="5">
        <f t="shared" si="14"/>
        <v>0</v>
      </c>
      <c r="J76" s="17">
        <f t="shared" si="17"/>
        <v>0</v>
      </c>
      <c r="K76" s="5">
        <f t="shared" si="15"/>
        <v>0</v>
      </c>
      <c r="L76" s="16">
        <f t="shared" si="18"/>
        <v>0</v>
      </c>
      <c r="M76" s="15">
        <f t="shared" si="16"/>
        <v>0</v>
      </c>
      <c r="N76" s="17">
        <f t="shared" si="19"/>
        <v>0</v>
      </c>
    </row>
    <row r="77" spans="1:14" ht="15.75" customHeight="1" thickBot="1" x14ac:dyDescent="0.25">
      <c r="A77" s="5" t="str">
        <f t="shared" si="12"/>
        <v>NO</v>
      </c>
      <c r="B77" s="5"/>
      <c r="C77" s="57"/>
      <c r="D77" s="14">
        <f t="shared" si="20"/>
        <v>43339</v>
      </c>
      <c r="E77" s="14">
        <f t="shared" si="21"/>
        <v>43345</v>
      </c>
      <c r="F77" s="3">
        <f>MAX(D$60-(((D$60*D$61)/100)*10),0)</f>
        <v>0</v>
      </c>
      <c r="G77" s="3">
        <f>MAX((100-D61*10),0)</f>
        <v>0</v>
      </c>
      <c r="H77" s="5">
        <f t="shared" si="13"/>
        <v>0</v>
      </c>
      <c r="I77" s="5">
        <f t="shared" si="14"/>
        <v>0</v>
      </c>
      <c r="J77" s="17">
        <f t="shared" si="17"/>
        <v>0</v>
      </c>
      <c r="K77" s="5">
        <f t="shared" si="15"/>
        <v>0</v>
      </c>
      <c r="L77" s="16">
        <f t="shared" si="18"/>
        <v>0</v>
      </c>
      <c r="M77" s="15">
        <f t="shared" si="16"/>
        <v>0</v>
      </c>
      <c r="N77" s="17">
        <f t="shared" si="19"/>
        <v>0</v>
      </c>
    </row>
    <row r="78" spans="1:14" ht="16" thickBot="1" x14ac:dyDescent="0.25">
      <c r="C78" s="19" t="s">
        <v>8</v>
      </c>
      <c r="D78" s="20" t="s">
        <v>36</v>
      </c>
      <c r="E78" s="18" t="s">
        <v>37</v>
      </c>
      <c r="F78" s="19" t="s">
        <v>35</v>
      </c>
      <c r="G78" s="20" t="s">
        <v>40</v>
      </c>
    </row>
    <row r="79" spans="1:14" ht="15" customHeight="1" x14ac:dyDescent="0.2">
      <c r="C79" s="58" t="s">
        <v>39</v>
      </c>
      <c r="D79" s="22">
        <f>SUM(L67:L77)</f>
        <v>43304</v>
      </c>
      <c r="E79" s="25">
        <f>SUM(N67:N77)</f>
        <v>43310</v>
      </c>
      <c r="F79" s="21">
        <f>SUM(J67:J77)</f>
        <v>72</v>
      </c>
      <c r="G79" s="9">
        <v>100</v>
      </c>
    </row>
    <row r="80" spans="1:14" ht="15" customHeight="1" x14ac:dyDescent="0.2">
      <c r="C80" s="59"/>
      <c r="D80" s="23">
        <f t="shared" ref="D80:D89" si="22">E79+1</f>
        <v>43311</v>
      </c>
      <c r="E80" s="26">
        <f t="shared" ref="E80:E89" si="23">D80+6</f>
        <v>43317</v>
      </c>
      <c r="F80" s="29">
        <f>MAX(F$79-((F$79*D$63)/100),0)</f>
        <v>61.2</v>
      </c>
      <c r="G80" s="10">
        <f>MAX(100-(D$63),0)</f>
        <v>85</v>
      </c>
    </row>
    <row r="81" spans="3:7" ht="15" customHeight="1" x14ac:dyDescent="0.2">
      <c r="C81" s="59"/>
      <c r="D81" s="23">
        <f t="shared" si="22"/>
        <v>43318</v>
      </c>
      <c r="E81" s="26">
        <f t="shared" si="23"/>
        <v>43324</v>
      </c>
      <c r="F81" s="29">
        <f>MAX(F$79-(((F$79*D$63)/100)*2),0)</f>
        <v>50.4</v>
      </c>
      <c r="G81" s="10">
        <f>MAX(100-(D$63*2),0)</f>
        <v>70</v>
      </c>
    </row>
    <row r="82" spans="3:7" ht="15" customHeight="1" x14ac:dyDescent="0.2">
      <c r="C82" s="59"/>
      <c r="D82" s="23">
        <f t="shared" si="22"/>
        <v>43325</v>
      </c>
      <c r="E82" s="26">
        <f t="shared" si="23"/>
        <v>43331</v>
      </c>
      <c r="F82" s="29">
        <f>MAX(F$79-(((F$79*D$63)/100)*3),0)</f>
        <v>39.599999999999994</v>
      </c>
      <c r="G82" s="10">
        <f>MAX(100-(D$63*3),0)</f>
        <v>55</v>
      </c>
    </row>
    <row r="83" spans="3:7" ht="15" customHeight="1" x14ac:dyDescent="0.2">
      <c r="C83" s="59"/>
      <c r="D83" s="23">
        <f t="shared" si="22"/>
        <v>43332</v>
      </c>
      <c r="E83" s="26">
        <f t="shared" si="23"/>
        <v>43338</v>
      </c>
      <c r="F83" s="29">
        <f>MAX(F$79-(((F$79*D$63)/100)*4),0)</f>
        <v>28.799999999999997</v>
      </c>
      <c r="G83" s="10">
        <f>MAX(100-(D$63*4),0)</f>
        <v>40</v>
      </c>
    </row>
    <row r="84" spans="3:7" ht="15" customHeight="1" x14ac:dyDescent="0.2">
      <c r="C84" s="59"/>
      <c r="D84" s="23">
        <f t="shared" si="22"/>
        <v>43339</v>
      </c>
      <c r="E84" s="26">
        <f t="shared" si="23"/>
        <v>43345</v>
      </c>
      <c r="F84" s="29">
        <f>MAX(F$79-(((F$79*D$63)/100)*5),0)</f>
        <v>18</v>
      </c>
      <c r="G84" s="10">
        <f>MAX(100-(D$63*5),0)</f>
        <v>25</v>
      </c>
    </row>
    <row r="85" spans="3:7" ht="15" customHeight="1" x14ac:dyDescent="0.2">
      <c r="C85" s="59"/>
      <c r="D85" s="23">
        <f t="shared" si="22"/>
        <v>43346</v>
      </c>
      <c r="E85" s="26">
        <f t="shared" si="23"/>
        <v>43352</v>
      </c>
      <c r="F85" s="29">
        <f>MAX(F$79-(((F$79*D$63)/100)*6),0)</f>
        <v>7.1999999999999886</v>
      </c>
      <c r="G85" s="10">
        <f>MAX(100-(D$63*6),0)</f>
        <v>10</v>
      </c>
    </row>
    <row r="86" spans="3:7" ht="15" customHeight="1" x14ac:dyDescent="0.2">
      <c r="C86" s="59"/>
      <c r="D86" s="23">
        <f t="shared" si="22"/>
        <v>43353</v>
      </c>
      <c r="E86" s="26">
        <f t="shared" si="23"/>
        <v>43359</v>
      </c>
      <c r="F86" s="29">
        <f>MAX(F$79-(((F$79*D$63)/100)*7),0)</f>
        <v>0</v>
      </c>
      <c r="G86" s="10">
        <f>MAX(100-(D$63*7),0)</f>
        <v>0</v>
      </c>
    </row>
    <row r="87" spans="3:7" ht="15" customHeight="1" x14ac:dyDescent="0.2">
      <c r="C87" s="59"/>
      <c r="D87" s="23">
        <f t="shared" si="22"/>
        <v>43360</v>
      </c>
      <c r="E87" s="26">
        <f t="shared" si="23"/>
        <v>43366</v>
      </c>
      <c r="F87" s="29">
        <f>MAX(F$79-(((F$79*D$63)/100)*8),0)</f>
        <v>0</v>
      </c>
      <c r="G87" s="10">
        <f>MAX(100-(D$63*8),0)</f>
        <v>0</v>
      </c>
    </row>
    <row r="88" spans="3:7" ht="15" customHeight="1" x14ac:dyDescent="0.2">
      <c r="C88" s="59"/>
      <c r="D88" s="23">
        <f t="shared" si="22"/>
        <v>43367</v>
      </c>
      <c r="E88" s="26">
        <f t="shared" si="23"/>
        <v>43373</v>
      </c>
      <c r="F88" s="29">
        <f>MAX(F$79-(((F$79*D$63)/100)*9),0)</f>
        <v>0</v>
      </c>
      <c r="G88" s="10">
        <f>MAX(100-(D$63*9),0)</f>
        <v>0</v>
      </c>
    </row>
    <row r="89" spans="3:7" ht="16" thickBot="1" x14ac:dyDescent="0.25">
      <c r="C89" s="60"/>
      <c r="D89" s="24">
        <f t="shared" si="22"/>
        <v>43374</v>
      </c>
      <c r="E89" s="27">
        <f t="shared" si="23"/>
        <v>43380</v>
      </c>
      <c r="F89" s="30">
        <f>MAX(F$79-(((F$79*D$63)/100)*10),0)</f>
        <v>0</v>
      </c>
      <c r="G89" s="11">
        <f>MAX(100-(D$63*10),0)</f>
        <v>0</v>
      </c>
    </row>
  </sheetData>
  <mergeCells count="20">
    <mergeCell ref="C58:G58"/>
    <mergeCell ref="D59:G59"/>
    <mergeCell ref="C32:C42"/>
    <mergeCell ref="C44:C54"/>
    <mergeCell ref="C79:C89"/>
    <mergeCell ref="C65:G65"/>
    <mergeCell ref="C67:C77"/>
    <mergeCell ref="D64:G64"/>
    <mergeCell ref="D60:G60"/>
    <mergeCell ref="D61:G61"/>
    <mergeCell ref="D62:G62"/>
    <mergeCell ref="D63:G63"/>
    <mergeCell ref="C23:G23"/>
    <mergeCell ref="C30:G30"/>
    <mergeCell ref="D27:G27"/>
    <mergeCell ref="D28:G28"/>
    <mergeCell ref="D24:G24"/>
    <mergeCell ref="D25:G25"/>
    <mergeCell ref="D26:G26"/>
    <mergeCell ref="D29:G29"/>
  </mergeCells>
  <conditionalFormatting sqref="D32:G42">
    <cfRule type="expression" dxfId="7" priority="15">
      <formula>$A32="NO"</formula>
    </cfRule>
    <cfRule type="expression" dxfId="6" priority="16">
      <formula>$A32="YES"</formula>
    </cfRule>
  </conditionalFormatting>
  <conditionalFormatting sqref="D44:G54">
    <cfRule type="expression" dxfId="5" priority="13">
      <formula>$G44&lt;=0</formula>
    </cfRule>
    <cfRule type="expression" dxfId="4" priority="14">
      <formula>$G44&gt;0</formula>
    </cfRule>
  </conditionalFormatting>
  <conditionalFormatting sqref="D67:G77">
    <cfRule type="expression" dxfId="3" priority="3">
      <formula>$A67="NO"</formula>
    </cfRule>
    <cfRule type="expression" dxfId="2" priority="4">
      <formula>$A67="YES"</formula>
    </cfRule>
  </conditionalFormatting>
  <conditionalFormatting sqref="D79:G89">
    <cfRule type="expression" dxfId="1" priority="1">
      <formula>$G79&lt;=0</formula>
    </cfRule>
    <cfRule type="expression" dxfId="0" priority="2">
      <formula>$G79&gt;0</formula>
    </cfRule>
  </conditionalFormatting>
  <dataValidations count="3">
    <dataValidation allowBlank="1" showInputMessage="1" showErrorMessage="1" promptTitle="Appropriate Taper Schedule" prompt="Most guidelines call for a 20-50 % per week of the original opioid dose until the last 10-15 % of the dose is reached. Patient specific factors should be considered when determing the rate of taper." sqref="D26:D28 E26 D61:D63 E61" xr:uid="{00000000-0002-0000-0000-000000000000}"/>
    <dataValidation type="list" allowBlank="1" showInputMessage="1" showErrorMessage="1" sqref="D59:G59" xr:uid="{00000000-0002-0000-0000-000001000000}">
      <formula1>LAOpioids</formula1>
    </dataValidation>
    <dataValidation type="list" allowBlank="1" showInputMessage="1" showErrorMessage="1" sqref="D24:G24" xr:uid="{00000000-0002-0000-0000-000002000000}">
      <formula1>SAOpioids</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4"/>
  <sheetViews>
    <sheetView workbookViewId="0">
      <selection activeCell="E4" sqref="E4"/>
    </sheetView>
  </sheetViews>
  <sheetFormatPr baseColWidth="10" defaultColWidth="8.83203125" defaultRowHeight="15" x14ac:dyDescent="0.2"/>
  <cols>
    <col min="1" max="1" width="28.5" customWidth="1"/>
    <col min="2" max="2" width="41" customWidth="1"/>
    <col min="3" max="3" width="91.83203125" customWidth="1"/>
    <col min="4" max="4" width="42.33203125" customWidth="1"/>
    <col min="5" max="5" width="141.1640625" customWidth="1"/>
    <col min="6" max="6" width="25.33203125" customWidth="1"/>
    <col min="7" max="7" width="25.6640625" customWidth="1"/>
  </cols>
  <sheetData>
    <row r="1" spans="1:6" x14ac:dyDescent="0.2">
      <c r="A1" s="31" t="s">
        <v>0</v>
      </c>
      <c r="B1" s="31" t="s">
        <v>9</v>
      </c>
      <c r="C1" s="31" t="s">
        <v>41</v>
      </c>
      <c r="D1" s="32" t="s">
        <v>10</v>
      </c>
      <c r="E1" s="31" t="s">
        <v>42</v>
      </c>
      <c r="F1" s="1"/>
    </row>
    <row r="2" spans="1:6" x14ac:dyDescent="0.2">
      <c r="A2" s="5">
        <v>1</v>
      </c>
      <c r="B2" s="33" t="s">
        <v>22</v>
      </c>
      <c r="C2" s="35" t="s">
        <v>55</v>
      </c>
      <c r="D2" s="33" t="s">
        <v>1</v>
      </c>
      <c r="E2" s="37" t="s">
        <v>50</v>
      </c>
    </row>
    <row r="3" spans="1:6" x14ac:dyDescent="0.2">
      <c r="A3" s="5">
        <v>2</v>
      </c>
      <c r="B3" s="33" t="s">
        <v>21</v>
      </c>
      <c r="C3" s="35" t="s">
        <v>56</v>
      </c>
      <c r="D3" s="33" t="s">
        <v>51</v>
      </c>
      <c r="E3" s="37" t="s">
        <v>62</v>
      </c>
    </row>
    <row r="4" spans="1:6" x14ac:dyDescent="0.2">
      <c r="A4" s="5">
        <v>3</v>
      </c>
      <c r="B4" s="33" t="s">
        <v>5</v>
      </c>
      <c r="C4" s="35" t="s">
        <v>44</v>
      </c>
      <c r="D4" s="33" t="s">
        <v>52</v>
      </c>
      <c r="E4" s="37" t="s">
        <v>63</v>
      </c>
    </row>
    <row r="5" spans="1:6" x14ac:dyDescent="0.2">
      <c r="A5" s="5">
        <v>4</v>
      </c>
      <c r="B5" s="34" t="s">
        <v>11</v>
      </c>
      <c r="C5" s="35" t="s">
        <v>57</v>
      </c>
      <c r="D5" s="33" t="s">
        <v>2</v>
      </c>
      <c r="E5" s="37" t="s">
        <v>53</v>
      </c>
    </row>
    <row r="6" spans="1:6" x14ac:dyDescent="0.2">
      <c r="A6" s="5">
        <v>5</v>
      </c>
      <c r="B6" s="33" t="s">
        <v>12</v>
      </c>
      <c r="C6" s="36" t="s">
        <v>58</v>
      </c>
      <c r="D6" s="33" t="s">
        <v>3</v>
      </c>
      <c r="E6" s="37" t="s">
        <v>54</v>
      </c>
    </row>
    <row r="7" spans="1:6" x14ac:dyDescent="0.2">
      <c r="A7" s="5">
        <v>6</v>
      </c>
      <c r="B7" s="33" t="s">
        <v>6</v>
      </c>
      <c r="C7" s="35" t="s">
        <v>59</v>
      </c>
      <c r="D7" s="33" t="s">
        <v>4</v>
      </c>
      <c r="E7" s="37" t="s">
        <v>43</v>
      </c>
    </row>
    <row r="8" spans="1:6" x14ac:dyDescent="0.2">
      <c r="A8" s="5">
        <v>7</v>
      </c>
      <c r="B8" s="33" t="s">
        <v>14</v>
      </c>
      <c r="C8" s="35" t="s">
        <v>60</v>
      </c>
      <c r="D8" s="33" t="s">
        <v>5</v>
      </c>
      <c r="E8" s="37" t="s">
        <v>44</v>
      </c>
    </row>
    <row r="9" spans="1:6" x14ac:dyDescent="0.2">
      <c r="A9" s="5">
        <v>8</v>
      </c>
      <c r="B9" s="33" t="s">
        <v>13</v>
      </c>
      <c r="C9" s="35" t="s">
        <v>61</v>
      </c>
      <c r="D9" s="34" t="s">
        <v>16</v>
      </c>
      <c r="E9" s="37" t="s">
        <v>45</v>
      </c>
    </row>
    <row r="10" spans="1:6" x14ac:dyDescent="0.2">
      <c r="A10" s="5">
        <v>9</v>
      </c>
      <c r="C10" s="4"/>
      <c r="D10" s="33" t="s">
        <v>15</v>
      </c>
      <c r="E10" s="37" t="s">
        <v>46</v>
      </c>
    </row>
    <row r="11" spans="1:6" x14ac:dyDescent="0.2">
      <c r="A11" s="5">
        <v>10</v>
      </c>
      <c r="D11" s="33" t="s">
        <v>6</v>
      </c>
      <c r="E11" s="37" t="s">
        <v>47</v>
      </c>
    </row>
    <row r="12" spans="1:6" x14ac:dyDescent="0.2">
      <c r="A12" s="5">
        <v>11</v>
      </c>
      <c r="D12" s="33" t="s">
        <v>17</v>
      </c>
      <c r="E12" s="37" t="s">
        <v>48</v>
      </c>
    </row>
    <row r="13" spans="1:6" x14ac:dyDescent="0.2">
      <c r="A13" s="5">
        <v>12</v>
      </c>
      <c r="D13" s="33" t="s">
        <v>7</v>
      </c>
      <c r="E13" s="37" t="s">
        <v>49</v>
      </c>
    </row>
    <row r="17" spans="1:3" x14ac:dyDescent="0.2">
      <c r="A17" s="16"/>
      <c r="B17" s="28"/>
      <c r="C17" s="28"/>
    </row>
    <row r="18" spans="1:3" x14ac:dyDescent="0.2">
      <c r="A18" s="16"/>
      <c r="B18" s="28"/>
      <c r="C18" s="28"/>
    </row>
    <row r="19" spans="1:3" x14ac:dyDescent="0.2">
      <c r="A19" s="16"/>
      <c r="B19" s="28"/>
      <c r="C19" s="28"/>
    </row>
    <row r="20" spans="1:3" x14ac:dyDescent="0.2">
      <c r="A20" s="16"/>
      <c r="B20" s="28"/>
      <c r="C20" s="28"/>
    </row>
    <row r="21" spans="1:3" x14ac:dyDescent="0.2">
      <c r="A21" s="16"/>
      <c r="B21" s="28"/>
      <c r="C21" s="28"/>
    </row>
    <row r="22" spans="1:3" x14ac:dyDescent="0.2">
      <c r="A22" s="16"/>
      <c r="B22" s="28"/>
      <c r="C22" s="28"/>
    </row>
    <row r="23" spans="1:3" x14ac:dyDescent="0.2">
      <c r="A23" s="16"/>
      <c r="B23" s="28"/>
      <c r="C23" s="28"/>
    </row>
    <row r="24" spans="1:3" x14ac:dyDescent="0.2">
      <c r="A24" s="16"/>
      <c r="B24" s="28"/>
      <c r="C24" s="2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Opioid Taper Calc</vt:lpstr>
      <vt:lpstr>Opioid Lists</vt:lpstr>
      <vt:lpstr>Chemicalentity</vt:lpstr>
      <vt:lpstr>ChemicalEntityOpioid</vt:lpstr>
      <vt:lpstr>LAOpioids</vt:lpstr>
      <vt:lpstr>SAOpioids</vt:lpstr>
    </vt:vector>
  </TitlesOfParts>
  <Company>Centene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Aragon</dc:creator>
  <cp:lastModifiedBy>Microsoft Office User</cp:lastModifiedBy>
  <dcterms:created xsi:type="dcterms:W3CDTF">2016-06-03T12:45:41Z</dcterms:created>
  <dcterms:modified xsi:type="dcterms:W3CDTF">2019-04-18T18:03:55Z</dcterms:modified>
</cp:coreProperties>
</file>